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queryTables/queryTable1.xml" ContentType="application/vnd.openxmlformats-officedocument.spreadsheetml.queryTab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2.xml" ContentType="application/vnd.openxmlformats-officedocument.drawing+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drawings/drawing3.xml" ContentType="application/vnd.openxmlformats-officedocument.drawing+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66925"/>
  <xr:revisionPtr revIDLastSave="45" documentId="8_{0AA0D4B6-6F6E-421C-A3E5-D1A30DBF6B19}" xr6:coauthVersionLast="47" xr6:coauthVersionMax="47" xr10:uidLastSave="{30915B40-50A2-4D4A-9724-DD51835DF36D}"/>
  <bookViews>
    <workbookView xWindow="-120" yWindow="-120" windowWidth="38640" windowHeight="15720" xr2:uid="{00000000-000D-0000-FFFF-FFFF00000000}"/>
  </bookViews>
  <sheets>
    <sheet name="SPLASH" sheetId="371" r:id="rId1"/>
    <sheet name="STATISTICS" sheetId="379" r:id="rId2"/>
    <sheet name="REGISTRATION" sheetId="380" r:id="rId3"/>
    <sheet name="TABLE OF CONTENTS" sheetId="345" r:id="rId4"/>
    <sheet name="CC" sheetId="369" state="veryHidden" r:id="rId5"/>
    <sheet name="AL" sheetId="370" state="veryHidden" r:id="rId6"/>
    <sheet name="L1" sheetId="372" state="veryHidden" r:id="rId7"/>
    <sheet name="FS_2YRS" sheetId="324" r:id="rId8"/>
    <sheet name="FS_5YRS" sheetId="192" r:id="rId9"/>
    <sheet name="Ai PROMPT AND RESPONSE" sheetId="368" r:id="rId10"/>
    <sheet name="TB_FS" sheetId="322" r:id="rId11"/>
    <sheet name="PT_TB" sheetId="282" r:id="rId12"/>
    <sheet name="PT_GL" sheetId="325" r:id="rId13"/>
    <sheet name="A" sheetId="312" r:id="rId14"/>
    <sheet name="A1" sheetId="5" r:id="rId15"/>
    <sheet name="B" sheetId="241" r:id="rId16"/>
    <sheet name="B.1" sheetId="362" r:id="rId17"/>
    <sheet name="C" sheetId="238" r:id="rId18"/>
    <sheet name="C.1" sheetId="323" r:id="rId19"/>
    <sheet name="U" sheetId="305" r:id="rId20"/>
    <sheet name="U1" sheetId="231" r:id="rId21"/>
    <sheet name="BB" sheetId="233" r:id="rId22"/>
    <sheet name="BB1" sheetId="361" r:id="rId23"/>
    <sheet name="DD" sheetId="234" r:id="rId24"/>
    <sheet name="FF" sheetId="236" r:id="rId25"/>
    <sheet name="GG" sheetId="235" r:id="rId26"/>
    <sheet name="KK" sheetId="237" r:id="rId27"/>
    <sheet name="UU" sheetId="313" r:id="rId28"/>
    <sheet name="T_Wksheet" sheetId="306" r:id="rId29"/>
    <sheet name="RPT_CHEQUE" sheetId="310" r:id="rId30"/>
    <sheet name="RPT INVOICE" sheetId="22" r:id="rId31"/>
    <sheet name="CR" sheetId="58" r:id="rId32"/>
    <sheet name="PJ" sheetId="353" r:id="rId33"/>
    <sheet name="CCJ" sheetId="16" r:id="rId34"/>
    <sheet name="WJ" sheetId="8" r:id="rId35"/>
    <sheet name="WJ_SUM" sheetId="378" r:id="rId36"/>
    <sheet name="CD" sheetId="14" r:id="rId37"/>
    <sheet name="SJ" sheetId="20" r:id="rId38"/>
    <sheet name="GJ" sheetId="18" r:id="rId39"/>
    <sheet name="BK_CDN" sheetId="335" r:id="rId40"/>
    <sheet name="BK_US" sheetId="326" r:id="rId41"/>
    <sheet name="BALFWD" sheetId="60" r:id="rId42"/>
    <sheet name="COA" sheetId="7" r:id="rId43"/>
    <sheet name="VENDORS" sheetId="311" r:id="rId44"/>
    <sheet name="SYMBOLS" sheetId="333" r:id="rId45"/>
    <sheet name="Broker_mapping" sheetId="131" r:id="rId46"/>
    <sheet name="STAFF" sheetId="55" r:id="rId47"/>
    <sheet name="CUSTOMERS" sheetId="23" r:id="rId48"/>
  </sheets>
  <definedNames>
    <definedName name="_xlnm._FilterDatabase" localSheetId="44" hidden="1">SYMBOLS!#REF!</definedName>
    <definedName name="ExternalData_1" localSheetId="10" hidden="1">TB_FS!$B$8:$I$118</definedName>
    <definedName name="_xlnm.Print_Area" localSheetId="9">'Ai PROMPT AND RESPONSE'!$B$8:$K$87</definedName>
    <definedName name="_xlnm.Print_Area" localSheetId="7">FS_2YRS!$D$7:$H$274</definedName>
    <definedName name="_xlnm.Print_Area" localSheetId="8">FS_5YRS!$D$7:$M$268</definedName>
    <definedName name="_xlnm.Print_Area" localSheetId="29">RPT_CHEQUE!$E$2:$I$45</definedName>
    <definedName name="TICKER">#REF!</definedName>
  </definedNames>
  <calcPr calcId="191029"/>
  <pivotCaches>
    <pivotCache cacheId="0" r:id="rId49"/>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4" i="379" l="1"/>
  <c r="E9" i="379"/>
  <c r="E10" i="379"/>
  <c r="E8" i="379"/>
  <c r="E7" i="379"/>
  <c r="E6" i="379"/>
  <c r="E5" i="379"/>
  <c r="E13" i="379"/>
  <c r="E12" i="379"/>
  <c r="E11" i="379"/>
  <c r="D5" i="380"/>
  <c r="D6" i="379"/>
  <c r="D7" i="379" s="1"/>
  <c r="D8" i="379" s="1"/>
  <c r="D9" i="379" s="1"/>
  <c r="D10" i="379" s="1"/>
  <c r="D11" i="379" s="1"/>
  <c r="D12" i="379" s="1"/>
  <c r="D13" i="379" s="1"/>
  <c r="D14" i="379" s="1"/>
  <c r="E17" i="379" l="1"/>
  <c r="B2" i="379" s="1"/>
  <c r="B5" i="5"/>
  <c r="K10" i="353"/>
  <c r="B4" i="326"/>
  <c r="B4" i="335"/>
  <c r="D10" i="22"/>
  <c r="D9" i="22"/>
  <c r="K19" i="353"/>
  <c r="K18" i="353"/>
  <c r="K17" i="353"/>
  <c r="K16" i="353"/>
  <c r="K15" i="353"/>
  <c r="K14" i="353"/>
  <c r="K13" i="353"/>
  <c r="K12" i="353"/>
  <c r="K11" i="353"/>
  <c r="J13" i="231"/>
  <c r="J16" i="231"/>
  <c r="J23" i="231"/>
  <c r="J22" i="231"/>
  <c r="J27" i="231"/>
  <c r="J30" i="231"/>
  <c r="J47" i="231"/>
  <c r="N30" i="231"/>
  <c r="N22" i="231"/>
  <c r="N23" i="231"/>
  <c r="N27" i="231"/>
  <c r="N16" i="231"/>
  <c r="N13" i="231"/>
  <c r="N47" i="231"/>
  <c r="Q42" i="241" a="1"/>
  <c r="Q42" i="241" s="1"/>
  <c r="Q41" i="241" a="1"/>
  <c r="Q41" i="241" s="1"/>
  <c r="Q40" i="241" a="1"/>
  <c r="Q40" i="241" s="1"/>
  <c r="Q39" i="241" a="1"/>
  <c r="Q39" i="241" s="1"/>
  <c r="Q38" i="241" a="1"/>
  <c r="Q38" i="241" s="1"/>
  <c r="Q37" i="241" a="1"/>
  <c r="Q37" i="241" s="1"/>
  <c r="Q36" i="241" a="1"/>
  <c r="Q36" i="241" s="1"/>
  <c r="Q27" i="241" a="1"/>
  <c r="Q27" i="241" s="1"/>
  <c r="Q26" i="241" a="1"/>
  <c r="Q26" i="241" s="1"/>
  <c r="Q25" i="241" a="1"/>
  <c r="Q25" i="241" s="1"/>
  <c r="Q24" i="241" a="1"/>
  <c r="Q24" i="241" s="1"/>
  <c r="P48" i="241"/>
  <c r="P47" i="241"/>
  <c r="P46" i="241"/>
  <c r="K42" i="241"/>
  <c r="K40" i="241"/>
  <c r="N24" i="241" a="1"/>
  <c r="N24" i="241" s="1"/>
  <c r="N41" i="241" a="1"/>
  <c r="N41" i="241" s="1"/>
  <c r="N40" i="241" a="1"/>
  <c r="N40" i="241" s="1"/>
  <c r="N39" i="241" a="1"/>
  <c r="N39" i="241" s="1"/>
  <c r="N38" i="241" a="1"/>
  <c r="N38" i="241" s="1"/>
  <c r="N37" i="241" a="1"/>
  <c r="N37" i="241" s="1"/>
  <c r="N36" i="241" a="1"/>
  <c r="N36" i="241" s="1"/>
  <c r="D12" i="369"/>
  <c r="AP10" i="326"/>
  <c r="AJ10" i="326"/>
  <c r="AE10" i="326"/>
  <c r="AA10" i="326"/>
  <c r="Z10" i="326"/>
  <c r="X10" i="326"/>
  <c r="W10" i="326"/>
  <c r="V10" i="326"/>
  <c r="U10" i="326"/>
  <c r="L10" i="326" s="1" a="1"/>
  <c r="L10" i="326" s="1"/>
  <c r="Q10" i="326"/>
  <c r="M10" i="326"/>
  <c r="K10" i="326"/>
  <c r="G10" i="326"/>
  <c r="C10" i="326"/>
  <c r="L95" i="335" a="1"/>
  <c r="AP9" i="335"/>
  <c r="AJ9" i="335"/>
  <c r="AE9" i="335"/>
  <c r="AA9" i="335"/>
  <c r="Z9" i="335"/>
  <c r="X9" i="335"/>
  <c r="W9" i="335"/>
  <c r="V9" i="335"/>
  <c r="U9" i="335"/>
  <c r="L9" i="335" s="1" a="1"/>
  <c r="L9" i="335" s="1"/>
  <c r="Q9" i="335"/>
  <c r="O9" i="335"/>
  <c r="N9" i="335" s="1"/>
  <c r="M9" i="335"/>
  <c r="K9" i="335"/>
  <c r="G9" i="335"/>
  <c r="G7" i="18"/>
  <c r="D10" i="369" s="1"/>
  <c r="N8" i="20"/>
  <c r="K8" i="20"/>
  <c r="L8" i="20" s="1"/>
  <c r="F8" i="20"/>
  <c r="Q9" i="14"/>
  <c r="O9" i="14"/>
  <c r="P9" i="14" s="1"/>
  <c r="J9" i="14"/>
  <c r="C9" i="14"/>
  <c r="D12" i="8"/>
  <c r="D11" i="8"/>
  <c r="D10" i="8"/>
  <c r="H10" i="8"/>
  <c r="E10" i="8"/>
  <c r="I11" i="16"/>
  <c r="J11" i="16" s="1"/>
  <c r="K9" i="353"/>
  <c r="M9" i="353" s="1"/>
  <c r="L9" i="353" s="1"/>
  <c r="I9" i="353"/>
  <c r="J9" i="353" s="1"/>
  <c r="K8" i="58"/>
  <c r="J8" i="58"/>
  <c r="K34" i="20"/>
  <c r="K33" i="20"/>
  <c r="K32" i="20"/>
  <c r="K31" i="20"/>
  <c r="K30" i="20"/>
  <c r="K29" i="20"/>
  <c r="K28" i="20"/>
  <c r="K27" i="20"/>
  <c r="K26" i="20"/>
  <c r="K25" i="20"/>
  <c r="K24" i="20"/>
  <c r="K23" i="20"/>
  <c r="K22" i="20"/>
  <c r="K21" i="20"/>
  <c r="K20" i="20"/>
  <c r="K19" i="20"/>
  <c r="K18" i="20"/>
  <c r="K17" i="20"/>
  <c r="K16" i="20"/>
  <c r="K15" i="20"/>
  <c r="K14" i="20"/>
  <c r="K13" i="20"/>
  <c r="K12" i="20"/>
  <c r="K11" i="20"/>
  <c r="K10" i="20"/>
  <c r="K9" i="20"/>
  <c r="J6" i="20"/>
  <c r="J8" i="353"/>
  <c r="Q38" i="14"/>
  <c r="O38" i="14"/>
  <c r="P38" i="14" s="1"/>
  <c r="J38" i="14"/>
  <c r="C38" i="14"/>
  <c r="Q37" i="14"/>
  <c r="O37" i="14"/>
  <c r="P37" i="14" s="1"/>
  <c r="J37" i="14"/>
  <c r="C37" i="14"/>
  <c r="Q36" i="14"/>
  <c r="O36" i="14"/>
  <c r="P36" i="14" s="1"/>
  <c r="J36" i="14"/>
  <c r="C36" i="14"/>
  <c r="Q35" i="14"/>
  <c r="O35" i="14"/>
  <c r="P35" i="14" s="1"/>
  <c r="J35" i="14"/>
  <c r="C35" i="14"/>
  <c r="Q34" i="14"/>
  <c r="O34" i="14"/>
  <c r="P34" i="14" s="1"/>
  <c r="J34" i="14"/>
  <c r="C34" i="14"/>
  <c r="Q33" i="14"/>
  <c r="O33" i="14"/>
  <c r="P33" i="14" s="1"/>
  <c r="J33" i="14"/>
  <c r="C33" i="14"/>
  <c r="Q32" i="14"/>
  <c r="O32" i="14"/>
  <c r="P32" i="14" s="1"/>
  <c r="J32" i="14"/>
  <c r="C32" i="14"/>
  <c r="Q31" i="14"/>
  <c r="O31" i="14"/>
  <c r="P31" i="14" s="1"/>
  <c r="J31" i="14"/>
  <c r="C31" i="14"/>
  <c r="Q30" i="14"/>
  <c r="O30" i="14"/>
  <c r="P30" i="14" s="1"/>
  <c r="J30" i="14"/>
  <c r="C30" i="14"/>
  <c r="Q29" i="14"/>
  <c r="O29" i="14"/>
  <c r="P29" i="14" s="1"/>
  <c r="J29" i="14"/>
  <c r="C29" i="14"/>
  <c r="Q28" i="14"/>
  <c r="O28" i="14"/>
  <c r="P28" i="14" s="1"/>
  <c r="J28" i="14"/>
  <c r="C28" i="14"/>
  <c r="Q27" i="14"/>
  <c r="O27" i="14"/>
  <c r="P27" i="14" s="1"/>
  <c r="J27" i="14"/>
  <c r="C27" i="14"/>
  <c r="Q26" i="14"/>
  <c r="O26" i="14"/>
  <c r="P26" i="14" s="1"/>
  <c r="J26" i="14"/>
  <c r="C26" i="14"/>
  <c r="Q25" i="14"/>
  <c r="O25" i="14"/>
  <c r="P25" i="14" s="1"/>
  <c r="J25" i="14"/>
  <c r="C25" i="14"/>
  <c r="Q24" i="14"/>
  <c r="O24" i="14"/>
  <c r="P24" i="14" s="1"/>
  <c r="J24" i="14"/>
  <c r="C24" i="14"/>
  <c r="Q23" i="14"/>
  <c r="O23" i="14"/>
  <c r="P23" i="14" s="1"/>
  <c r="J23" i="14"/>
  <c r="C23" i="14"/>
  <c r="Q22" i="14"/>
  <c r="O22" i="14"/>
  <c r="P22" i="14" s="1"/>
  <c r="J22" i="14"/>
  <c r="C22" i="14"/>
  <c r="C41" i="14"/>
  <c r="C40" i="14"/>
  <c r="C39" i="14"/>
  <c r="C21" i="14"/>
  <c r="C14" i="14"/>
  <c r="C13" i="14"/>
  <c r="C12" i="14"/>
  <c r="C11" i="14"/>
  <c r="C10" i="14"/>
  <c r="F11" i="14"/>
  <c r="Q40" i="14"/>
  <c r="O40" i="14"/>
  <c r="P40" i="14" s="1"/>
  <c r="J40" i="14"/>
  <c r="Q39" i="14"/>
  <c r="O39" i="14"/>
  <c r="P39" i="14" s="1"/>
  <c r="J39" i="14"/>
  <c r="Q21" i="14"/>
  <c r="O21" i="14"/>
  <c r="P21" i="14" s="1"/>
  <c r="J21" i="14"/>
  <c r="Q20" i="14"/>
  <c r="O20" i="14"/>
  <c r="P20" i="14" s="1"/>
  <c r="J20" i="14"/>
  <c r="Q19" i="14"/>
  <c r="O19" i="14"/>
  <c r="P19" i="14" s="1"/>
  <c r="J19" i="14"/>
  <c r="Q18" i="14"/>
  <c r="O18" i="14"/>
  <c r="P18" i="14" s="1"/>
  <c r="J18" i="14"/>
  <c r="Q17" i="14"/>
  <c r="O17" i="14"/>
  <c r="P17" i="14" s="1"/>
  <c r="J17" i="14"/>
  <c r="Q16" i="14"/>
  <c r="O16" i="14"/>
  <c r="P16" i="14" s="1"/>
  <c r="J16" i="14"/>
  <c r="Q15" i="14"/>
  <c r="O15" i="14"/>
  <c r="P15" i="14" s="1"/>
  <c r="J15" i="14"/>
  <c r="Q14" i="14"/>
  <c r="O14" i="14"/>
  <c r="P14" i="14" s="1"/>
  <c r="J14" i="14"/>
  <c r="K7" i="58"/>
  <c r="D8" i="369"/>
  <c r="P8" i="14"/>
  <c r="Q41" i="14"/>
  <c r="O41" i="14"/>
  <c r="P41" i="14" s="1"/>
  <c r="J41" i="14"/>
  <c r="Q13" i="14"/>
  <c r="O13" i="14"/>
  <c r="P13" i="14" s="1"/>
  <c r="J13" i="14"/>
  <c r="Q12" i="14"/>
  <c r="O12" i="14"/>
  <c r="P12" i="14" s="1"/>
  <c r="J12" i="14"/>
  <c r="O11" i="14"/>
  <c r="P11" i="14" s="1"/>
  <c r="Q11" i="14"/>
  <c r="J11" i="14"/>
  <c r="O10" i="14"/>
  <c r="P10" i="14" s="1"/>
  <c r="Q10" i="14"/>
  <c r="J10" i="14"/>
  <c r="C8" i="14"/>
  <c r="C7" i="14"/>
  <c r="I35" i="378"/>
  <c r="F35" i="378"/>
  <c r="I34" i="378"/>
  <c r="F34" i="378"/>
  <c r="F33" i="378"/>
  <c r="I32" i="378"/>
  <c r="F32" i="378"/>
  <c r="I31" i="378"/>
  <c r="F31" i="378"/>
  <c r="I30" i="378"/>
  <c r="F30" i="378"/>
  <c r="B5" i="378"/>
  <c r="B3" i="378"/>
  <c r="H16" i="8"/>
  <c r="H15" i="8"/>
  <c r="H14" i="8"/>
  <c r="H13" i="8"/>
  <c r="H12" i="8"/>
  <c r="H11" i="8"/>
  <c r="N35" i="20"/>
  <c r="N34" i="20"/>
  <c r="N33" i="20"/>
  <c r="N32" i="20"/>
  <c r="N31" i="20"/>
  <c r="N30" i="20"/>
  <c r="N29" i="20"/>
  <c r="N28" i="20"/>
  <c r="N27" i="20"/>
  <c r="N26" i="20"/>
  <c r="N25" i="20"/>
  <c r="N24" i="20"/>
  <c r="N23" i="20"/>
  <c r="N22" i="20"/>
  <c r="N21" i="20"/>
  <c r="N20" i="20"/>
  <c r="N19" i="20"/>
  <c r="N18" i="20"/>
  <c r="N17" i="20"/>
  <c r="N16" i="20"/>
  <c r="N15" i="20"/>
  <c r="N14" i="20"/>
  <c r="N13" i="20"/>
  <c r="N12" i="20"/>
  <c r="N11" i="20"/>
  <c r="N10" i="20"/>
  <c r="N9" i="20"/>
  <c r="K35" i="20"/>
  <c r="E12" i="8"/>
  <c r="E11" i="8"/>
  <c r="J10" i="16"/>
  <c r="C7" i="58"/>
  <c r="O8" i="20" s="1"/>
  <c r="I22" i="16"/>
  <c r="J22" i="16" s="1"/>
  <c r="I21" i="16"/>
  <c r="J21" i="16" s="1"/>
  <c r="I20" i="16"/>
  <c r="J20" i="16" s="1"/>
  <c r="I19" i="16"/>
  <c r="J19" i="16" s="1"/>
  <c r="I16" i="16"/>
  <c r="J16" i="16" s="1"/>
  <c r="B10" i="16"/>
  <c r="B9" i="16"/>
  <c r="I18" i="16"/>
  <c r="J18" i="16" s="1"/>
  <c r="I17" i="16"/>
  <c r="J17" i="16" s="1"/>
  <c r="I15" i="16"/>
  <c r="J15" i="16" s="1"/>
  <c r="I14" i="16"/>
  <c r="J14" i="16" s="1"/>
  <c r="I13" i="16"/>
  <c r="J13" i="16" s="1"/>
  <c r="I12" i="16"/>
  <c r="D10" i="378" l="1"/>
  <c r="D11" i="378" s="1"/>
  <c r="D12" i="378" s="1"/>
  <c r="D13" i="378" s="1"/>
  <c r="K8" i="353"/>
  <c r="D7" i="369"/>
  <c r="N27" i="241" a="1"/>
  <c r="N27" i="241" s="1"/>
  <c r="N26" i="241" a="1"/>
  <c r="N26" i="241" s="1"/>
  <c r="N25" i="241" a="1"/>
  <c r="N25" i="241" s="1"/>
  <c r="N42" i="241" a="1"/>
  <c r="N42" i="241" s="1"/>
  <c r="AG10" i="326"/>
  <c r="AD10" i="326"/>
  <c r="T10" i="326"/>
  <c r="S10" i="326"/>
  <c r="O10" i="326" s="1"/>
  <c r="L95" i="335"/>
  <c r="AG9" i="335"/>
  <c r="AD9" i="335"/>
  <c r="AH9" i="335"/>
  <c r="R9" i="335"/>
  <c r="AM9" i="335"/>
  <c r="AL9" i="335"/>
  <c r="AK9" i="335"/>
  <c r="T9" i="335"/>
  <c r="S9" i="335"/>
  <c r="P8" i="20"/>
  <c r="A8" i="20" s="1"/>
  <c r="K10" i="378"/>
  <c r="K11" i="378" s="1"/>
  <c r="K12" i="378" s="1"/>
  <c r="F10" i="378"/>
  <c r="F11" i="378" s="1"/>
  <c r="F12" i="378" s="1"/>
  <c r="E10" i="378"/>
  <c r="E11" i="378" s="1"/>
  <c r="L10" i="8"/>
  <c r="J10" i="378" s="1"/>
  <c r="J11" i="378" s="1"/>
  <c r="K10" i="8"/>
  <c r="I10" i="378" s="1"/>
  <c r="I11" i="378" s="1"/>
  <c r="I12" i="378" s="1"/>
  <c r="J10" i="8"/>
  <c r="I10" i="8"/>
  <c r="G10" i="378" s="1"/>
  <c r="G11" i="378" s="1"/>
  <c r="N7" i="20"/>
  <c r="K6" i="20"/>
  <c r="F12" i="14"/>
  <c r="C15" i="14"/>
  <c r="P7" i="14"/>
  <c r="P4" i="14" s="1"/>
  <c r="L12" i="8"/>
  <c r="K12" i="8"/>
  <c r="L11" i="8"/>
  <c r="L16" i="8"/>
  <c r="J16" i="8"/>
  <c r="P16" i="8" s="1"/>
  <c r="I16" i="8"/>
  <c r="K16" i="8"/>
  <c r="J15" i="8"/>
  <c r="P15" i="8" s="1"/>
  <c r="L15" i="8"/>
  <c r="K15" i="8"/>
  <c r="I15" i="8"/>
  <c r="K14" i="8"/>
  <c r="J14" i="8"/>
  <c r="P14" i="8" s="1"/>
  <c r="L14" i="8"/>
  <c r="I14" i="8"/>
  <c r="L13" i="8"/>
  <c r="K13" i="8"/>
  <c r="J13" i="8"/>
  <c r="P13" i="8" s="1"/>
  <c r="I13" i="8"/>
  <c r="J12" i="8"/>
  <c r="P12" i="8" s="1"/>
  <c r="I12" i="8"/>
  <c r="K11" i="8"/>
  <c r="J11" i="8"/>
  <c r="P11" i="8" s="1"/>
  <c r="I11" i="8"/>
  <c r="J9" i="16"/>
  <c r="J12" i="16"/>
  <c r="M19" i="353"/>
  <c r="L19" i="353" s="1"/>
  <c r="M18" i="353"/>
  <c r="L18" i="353" s="1"/>
  <c r="M17" i="353"/>
  <c r="L17" i="353" s="1"/>
  <c r="M16" i="353"/>
  <c r="L16" i="353" s="1"/>
  <c r="M15" i="353"/>
  <c r="L15" i="353" s="1"/>
  <c r="M14" i="353"/>
  <c r="L14" i="353" s="1"/>
  <c r="M13" i="353"/>
  <c r="L13" i="353" s="1"/>
  <c r="C5" i="369"/>
  <c r="C6" i="369" s="1"/>
  <c r="C7" i="369" s="1"/>
  <c r="C8" i="369" s="1"/>
  <c r="C9" i="369" s="1"/>
  <c r="C10" i="369" s="1"/>
  <c r="C11" i="369" s="1"/>
  <c r="C12" i="369" s="1"/>
  <c r="C13" i="369" s="1"/>
  <c r="M11" i="353"/>
  <c r="M12" i="353"/>
  <c r="M10" i="353"/>
  <c r="J18" i="58"/>
  <c r="J17" i="58"/>
  <c r="J16" i="58"/>
  <c r="J15" i="58"/>
  <c r="J14" i="58"/>
  <c r="J13" i="58"/>
  <c r="J11" i="58"/>
  <c r="J9" i="58"/>
  <c r="J10" i="58"/>
  <c r="K18" i="58"/>
  <c r="K17" i="58"/>
  <c r="K16" i="58"/>
  <c r="K15" i="58"/>
  <c r="K14" i="58"/>
  <c r="K13" i="58"/>
  <c r="K12" i="58"/>
  <c r="K11" i="58"/>
  <c r="K10" i="58"/>
  <c r="K9" i="58"/>
  <c r="C111" i="282"/>
  <c r="I18" i="353"/>
  <c r="J18" i="353" s="1"/>
  <c r="I17" i="353"/>
  <c r="J17" i="353" s="1"/>
  <c r="I16" i="353"/>
  <c r="J16" i="353" s="1"/>
  <c r="I15" i="353"/>
  <c r="J15" i="353" s="1"/>
  <c r="I14" i="353"/>
  <c r="J14" i="353" s="1"/>
  <c r="I13" i="353"/>
  <c r="J13" i="353" s="1"/>
  <c r="I12" i="353"/>
  <c r="J12" i="353" s="1"/>
  <c r="I11" i="353"/>
  <c r="J11" i="353" s="1"/>
  <c r="I10" i="353"/>
  <c r="L35" i="20"/>
  <c r="L34" i="20"/>
  <c r="L33" i="20"/>
  <c r="L32" i="20"/>
  <c r="L31" i="20"/>
  <c r="L30" i="20"/>
  <c r="L29" i="20"/>
  <c r="L28" i="20"/>
  <c r="L27" i="20"/>
  <c r="L26" i="20"/>
  <c r="L25" i="20"/>
  <c r="L24" i="20"/>
  <c r="L23" i="20"/>
  <c r="L22" i="20"/>
  <c r="L21" i="20"/>
  <c r="L20" i="20"/>
  <c r="L19" i="20"/>
  <c r="L18" i="20"/>
  <c r="L17" i="20"/>
  <c r="L16" i="20"/>
  <c r="L15" i="20"/>
  <c r="L14" i="20"/>
  <c r="L13" i="20"/>
  <c r="L12" i="20"/>
  <c r="F12" i="20"/>
  <c r="L11" i="20"/>
  <c r="F11" i="20"/>
  <c r="L10" i="20"/>
  <c r="F10" i="20"/>
  <c r="C10" i="20"/>
  <c r="L9" i="20"/>
  <c r="F9" i="20"/>
  <c r="G110" i="60"/>
  <c r="D13" i="369" s="1"/>
  <c r="U44" i="326"/>
  <c r="L10" i="353" l="1"/>
  <c r="L11" i="353" s="1"/>
  <c r="L12" i="353" s="1"/>
  <c r="M8" i="353"/>
  <c r="N13" i="8"/>
  <c r="C11" i="20"/>
  <c r="N15" i="8"/>
  <c r="K4" i="58"/>
  <c r="AK10" i="326"/>
  <c r="AL10" i="326"/>
  <c r="AO10" i="326" s="1"/>
  <c r="AM10" i="326"/>
  <c r="N10" i="326"/>
  <c r="AO9" i="335"/>
  <c r="AH10" i="326"/>
  <c r="R10" i="326"/>
  <c r="Y10" i="326"/>
  <c r="AB10" i="326" s="1"/>
  <c r="AI10" i="326" s="1"/>
  <c r="AC10" i="326"/>
  <c r="AF10" i="326" s="1"/>
  <c r="AC9" i="335"/>
  <c r="AF9" i="335" s="1"/>
  <c r="Y9" i="335"/>
  <c r="AB9" i="335" s="1"/>
  <c r="AI9" i="335" s="1"/>
  <c r="P10" i="8"/>
  <c r="N10" i="378" s="1"/>
  <c r="H10" i="378"/>
  <c r="G12" i="378"/>
  <c r="G13" i="378" s="1"/>
  <c r="G14" i="378" s="1"/>
  <c r="G15" i="378" s="1"/>
  <c r="G16" i="378" s="1"/>
  <c r="N10" i="8"/>
  <c r="L10" i="378" s="1"/>
  <c r="O10" i="8"/>
  <c r="N14" i="8"/>
  <c r="N12" i="8"/>
  <c r="J6" i="16"/>
  <c r="D9" i="369"/>
  <c r="N6" i="20"/>
  <c r="N4" i="20" s="1"/>
  <c r="L6" i="20"/>
  <c r="F13" i="14"/>
  <c r="C16" i="14"/>
  <c r="C17" i="14" s="1"/>
  <c r="C18" i="14" s="1"/>
  <c r="F19" i="14"/>
  <c r="K13" i="378"/>
  <c r="J12" i="378"/>
  <c r="J13" i="378" s="1"/>
  <c r="I13" i="378"/>
  <c r="I14" i="378" s="1"/>
  <c r="F13" i="378"/>
  <c r="F14" i="378" s="1"/>
  <c r="E12" i="378"/>
  <c r="D14" i="378"/>
  <c r="N16" i="8"/>
  <c r="N11" i="8"/>
  <c r="O16" i="8"/>
  <c r="Q16" i="8" s="1"/>
  <c r="O15" i="8"/>
  <c r="Q15" i="8" s="1"/>
  <c r="O14" i="8"/>
  <c r="Q14" i="8" s="1"/>
  <c r="O13" i="8"/>
  <c r="Q13" i="8" s="1"/>
  <c r="O12" i="8"/>
  <c r="Q12" i="8" s="1"/>
  <c r="O11" i="8"/>
  <c r="Q11" i="8" s="1"/>
  <c r="D4" i="369"/>
  <c r="J10" i="353"/>
  <c r="BC1" i="353"/>
  <c r="J12" i="58"/>
  <c r="C12" i="20" l="1"/>
  <c r="I27" i="22"/>
  <c r="I23" i="22"/>
  <c r="H11" i="378"/>
  <c r="H12" i="378" s="1"/>
  <c r="H13" i="378" s="1"/>
  <c r="H14" i="378" s="1"/>
  <c r="N11" i="378"/>
  <c r="L11" i="378"/>
  <c r="Q10" i="8"/>
  <c r="M10" i="378"/>
  <c r="J14" i="378"/>
  <c r="J15" i="378" s="1"/>
  <c r="F14" i="14"/>
  <c r="C19" i="14"/>
  <c r="C20" i="14" s="1"/>
  <c r="F20" i="14"/>
  <c r="K14" i="378"/>
  <c r="K15" i="378" s="1"/>
  <c r="K16" i="378" s="1"/>
  <c r="K17" i="378" s="1"/>
  <c r="G17" i="378"/>
  <c r="F15" i="378"/>
  <c r="I15" i="378"/>
  <c r="E13" i="378"/>
  <c r="D15" i="378"/>
  <c r="I37" i="361"/>
  <c r="K22" i="361"/>
  <c r="I22" i="361"/>
  <c r="J22" i="361"/>
  <c r="H22" i="361"/>
  <c r="N12" i="378" l="1"/>
  <c r="N13" i="378" s="1"/>
  <c r="N14" i="378" s="1"/>
  <c r="N15" i="378" s="1"/>
  <c r="N16" i="378" s="1"/>
  <c r="O10" i="378"/>
  <c r="R10" i="378"/>
  <c r="M11" i="378"/>
  <c r="L12" i="378"/>
  <c r="L13" i="378" s="1"/>
  <c r="F15" i="14"/>
  <c r="F21" i="14"/>
  <c r="F22" i="14" s="1"/>
  <c r="F16" i="378"/>
  <c r="F17" i="378" s="1"/>
  <c r="F18" i="378" s="1"/>
  <c r="J16" i="378"/>
  <c r="H15" i="378"/>
  <c r="H16" i="378" s="1"/>
  <c r="H17" i="378" s="1"/>
  <c r="H18" i="378" s="1"/>
  <c r="G18" i="378"/>
  <c r="G19" i="378" s="1"/>
  <c r="G20" i="378" s="1"/>
  <c r="G21" i="378" s="1"/>
  <c r="K18" i="378"/>
  <c r="K19" i="378" s="1"/>
  <c r="K20" i="378" s="1"/>
  <c r="K21" i="378" s="1"/>
  <c r="I16" i="378"/>
  <c r="E14" i="378"/>
  <c r="D16" i="378"/>
  <c r="J25" i="16"/>
  <c r="D6" i="369" s="1"/>
  <c r="O11" i="378" l="1"/>
  <c r="R11" i="378"/>
  <c r="M12" i="378"/>
  <c r="L14" i="378"/>
  <c r="F23" i="14"/>
  <c r="F16" i="14"/>
  <c r="G17" i="14" s="1"/>
  <c r="G19" i="14"/>
  <c r="N17" i="378"/>
  <c r="J17" i="378"/>
  <c r="J18" i="378" s="1"/>
  <c r="I17" i="378"/>
  <c r="D17" i="378"/>
  <c r="F19" i="378"/>
  <c r="F20" i="378" s="1"/>
  <c r="F21" i="378" s="1"/>
  <c r="H19" i="378"/>
  <c r="E15" i="378"/>
  <c r="K23" i="378"/>
  <c r="K33" i="378" s="1"/>
  <c r="L15" i="378" l="1"/>
  <c r="O12" i="378"/>
  <c r="O13" i="378" s="1"/>
  <c r="M13" i="378"/>
  <c r="R12" i="378"/>
  <c r="G23" i="14"/>
  <c r="H23" i="14" s="1"/>
  <c r="F24" i="14"/>
  <c r="G20" i="14"/>
  <c r="G22" i="14"/>
  <c r="H22" i="14" s="1"/>
  <c r="G21" i="14"/>
  <c r="G18" i="14"/>
  <c r="G16" i="14"/>
  <c r="N18" i="378"/>
  <c r="N19" i="378" s="1"/>
  <c r="N20" i="378" s="1"/>
  <c r="N21" i="378" s="1"/>
  <c r="H20" i="378"/>
  <c r="H21" i="378" s="1"/>
  <c r="H23" i="378" s="1"/>
  <c r="I18" i="378"/>
  <c r="D18" i="378"/>
  <c r="F23" i="378"/>
  <c r="J19" i="378"/>
  <c r="E16" i="378"/>
  <c r="G23" i="378"/>
  <c r="L16" i="378" l="1"/>
  <c r="O14" i="378"/>
  <c r="M14" i="378"/>
  <c r="R13" i="378"/>
  <c r="F25" i="14"/>
  <c r="G24" i="14"/>
  <c r="H24" i="14" s="1"/>
  <c r="J20" i="378"/>
  <c r="J21" i="378" s="1"/>
  <c r="J23" i="378" s="1"/>
  <c r="I19" i="378"/>
  <c r="D19" i="378"/>
  <c r="D20" i="378" s="1"/>
  <c r="E17" i="378"/>
  <c r="L17" i="378" l="1"/>
  <c r="O15" i="378"/>
  <c r="M15" i="378"/>
  <c r="R14" i="378"/>
  <c r="G25" i="14"/>
  <c r="H25" i="14" s="1"/>
  <c r="F26" i="14"/>
  <c r="E18" i="378"/>
  <c r="I20" i="378"/>
  <c r="D21" i="378"/>
  <c r="D23" i="378" s="1"/>
  <c r="K30" i="378" s="1"/>
  <c r="L18" i="378" l="1"/>
  <c r="O16" i="378"/>
  <c r="M16" i="378"/>
  <c r="R15" i="378"/>
  <c r="F27" i="14"/>
  <c r="G26" i="14"/>
  <c r="H26" i="14" s="1"/>
  <c r="H21" i="14"/>
  <c r="H18" i="14"/>
  <c r="H16" i="14"/>
  <c r="H20" i="14"/>
  <c r="H19" i="14"/>
  <c r="H17" i="14"/>
  <c r="E19" i="378"/>
  <c r="I21" i="378"/>
  <c r="I23" i="378" s="1"/>
  <c r="O17" i="378" l="1"/>
  <c r="L19" i="378"/>
  <c r="M17" i="378"/>
  <c r="R16" i="378"/>
  <c r="E20" i="378"/>
  <c r="G27" i="14"/>
  <c r="H27" i="14" s="1"/>
  <c r="F28" i="14"/>
  <c r="O18" i="378" l="1"/>
  <c r="L20" i="378"/>
  <c r="R17" i="378"/>
  <c r="M18" i="378"/>
  <c r="E21" i="378"/>
  <c r="E23" i="378" s="1"/>
  <c r="K31" i="378" s="1"/>
  <c r="F29" i="14"/>
  <c r="G28" i="14"/>
  <c r="H28" i="14" s="1"/>
  <c r="O19" i="378" l="1"/>
  <c r="O20" i="378" s="1"/>
  <c r="O21" i="378" s="1"/>
  <c r="O23" i="378" s="1"/>
  <c r="K34" i="378" s="1"/>
  <c r="L21" i="378"/>
  <c r="L23" i="378" s="1"/>
  <c r="K35" i="378" s="1"/>
  <c r="R18" i="378"/>
  <c r="M19" i="378"/>
  <c r="F30" i="14"/>
  <c r="G29" i="14"/>
  <c r="H29" i="14" s="1"/>
  <c r="N23" i="378"/>
  <c r="R19" i="378" l="1"/>
  <c r="M20" i="378"/>
  <c r="G30" i="14"/>
  <c r="H30" i="14" s="1"/>
  <c r="F31" i="14"/>
  <c r="R20" i="378" l="1"/>
  <c r="M21" i="378"/>
  <c r="F32" i="14"/>
  <c r="G31" i="14"/>
  <c r="H31" i="14" s="1"/>
  <c r="C75" i="335"/>
  <c r="C74" i="335"/>
  <c r="C73" i="335"/>
  <c r="G72" i="335"/>
  <c r="C72" i="335"/>
  <c r="G71" i="335"/>
  <c r="C71" i="335"/>
  <c r="G70" i="335"/>
  <c r="C70" i="335"/>
  <c r="G69" i="335"/>
  <c r="C69" i="335"/>
  <c r="G68" i="335"/>
  <c r="C68" i="335"/>
  <c r="G67" i="335"/>
  <c r="C67" i="335"/>
  <c r="G66" i="335"/>
  <c r="C66" i="335"/>
  <c r="G65" i="335"/>
  <c r="C65" i="335"/>
  <c r="G64" i="335"/>
  <c r="C64" i="335"/>
  <c r="G63" i="335"/>
  <c r="C63" i="335"/>
  <c r="J62" i="335"/>
  <c r="G62" i="335" s="1"/>
  <c r="C62" i="335"/>
  <c r="G61" i="335"/>
  <c r="C61" i="335"/>
  <c r="J60" i="335"/>
  <c r="G60" i="335" s="1"/>
  <c r="C60" i="335"/>
  <c r="J59" i="335"/>
  <c r="G59" i="335" s="1"/>
  <c r="C59" i="335"/>
  <c r="G58" i="335"/>
  <c r="C58" i="335"/>
  <c r="G57" i="335"/>
  <c r="C57" i="335"/>
  <c r="G56" i="335"/>
  <c r="C56" i="335"/>
  <c r="G55" i="335"/>
  <c r="C55" i="335"/>
  <c r="G54" i="335"/>
  <c r="C54" i="335"/>
  <c r="G53" i="335"/>
  <c r="C53" i="335"/>
  <c r="G52" i="335"/>
  <c r="C52" i="335"/>
  <c r="G51" i="335"/>
  <c r="C51" i="335"/>
  <c r="J50" i="335"/>
  <c r="G50" i="335" s="1"/>
  <c r="C50" i="335"/>
  <c r="J49" i="335"/>
  <c r="G49" i="335" s="1"/>
  <c r="C49" i="335"/>
  <c r="G48" i="335"/>
  <c r="C48" i="335"/>
  <c r="G47" i="335"/>
  <c r="C47" i="335"/>
  <c r="G46" i="335"/>
  <c r="C46" i="335"/>
  <c r="J45" i="335"/>
  <c r="G45" i="335" s="1"/>
  <c r="C45" i="335"/>
  <c r="J44" i="335"/>
  <c r="C44" i="335"/>
  <c r="G43" i="335"/>
  <c r="C43" i="335"/>
  <c r="G42" i="335"/>
  <c r="C42" i="335"/>
  <c r="G41" i="335"/>
  <c r="C41" i="335"/>
  <c r="G40" i="335"/>
  <c r="C40" i="335"/>
  <c r="G39" i="335"/>
  <c r="C39" i="335"/>
  <c r="G38" i="335"/>
  <c r="C38" i="335"/>
  <c r="G37" i="335"/>
  <c r="C37" i="335"/>
  <c r="G36" i="335"/>
  <c r="C36" i="335"/>
  <c r="G35" i="335"/>
  <c r="C35" i="335"/>
  <c r="G34" i="335"/>
  <c r="C34" i="335"/>
  <c r="G33" i="335"/>
  <c r="C33" i="335"/>
  <c r="G32" i="335"/>
  <c r="C32" i="335"/>
  <c r="G31" i="335"/>
  <c r="C31" i="335"/>
  <c r="G30" i="335"/>
  <c r="C30" i="335"/>
  <c r="G29" i="335"/>
  <c r="C29" i="335"/>
  <c r="G28" i="335"/>
  <c r="C28" i="335"/>
  <c r="G27" i="335"/>
  <c r="C27" i="335"/>
  <c r="G26" i="335"/>
  <c r="C26" i="335"/>
  <c r="G25" i="335"/>
  <c r="C25" i="335"/>
  <c r="G24" i="335"/>
  <c r="C24" i="335"/>
  <c r="G23" i="335"/>
  <c r="C23" i="335"/>
  <c r="G22" i="335"/>
  <c r="C22" i="335"/>
  <c r="G21" i="335"/>
  <c r="C21" i="335"/>
  <c r="G20" i="335"/>
  <c r="C20" i="335"/>
  <c r="G19" i="335"/>
  <c r="C19" i="335"/>
  <c r="G18" i="335"/>
  <c r="C18" i="335"/>
  <c r="G17" i="335"/>
  <c r="C17" i="335"/>
  <c r="G16" i="335"/>
  <c r="C16" i="335"/>
  <c r="G15" i="335"/>
  <c r="C15" i="335"/>
  <c r="G14" i="335"/>
  <c r="C14" i="335"/>
  <c r="G13" i="335"/>
  <c r="C13" i="335"/>
  <c r="G12" i="335"/>
  <c r="C12" i="335"/>
  <c r="G11" i="335"/>
  <c r="C11" i="335"/>
  <c r="G10" i="335"/>
  <c r="C10" i="335"/>
  <c r="BE1" i="60"/>
  <c r="C11" i="326"/>
  <c r="G11" i="326"/>
  <c r="C12" i="326"/>
  <c r="G12" i="326"/>
  <c r="C13" i="326"/>
  <c r="G13" i="326"/>
  <c r="C14" i="326"/>
  <c r="G14" i="326"/>
  <c r="C15" i="326"/>
  <c r="G15" i="326"/>
  <c r="C16" i="326"/>
  <c r="G16" i="326"/>
  <c r="C17" i="326"/>
  <c r="G17" i="326"/>
  <c r="C18" i="326"/>
  <c r="G18" i="326"/>
  <c r="C19" i="326"/>
  <c r="G19" i="326"/>
  <c r="C20" i="326"/>
  <c r="G20" i="326"/>
  <c r="C21" i="326"/>
  <c r="G21" i="326"/>
  <c r="C22" i="326"/>
  <c r="G22" i="326"/>
  <c r="C23" i="326"/>
  <c r="G23" i="326"/>
  <c r="C24" i="326"/>
  <c r="G24" i="326"/>
  <c r="C25" i="326"/>
  <c r="G25" i="326"/>
  <c r="C26" i="326"/>
  <c r="G26" i="326"/>
  <c r="C27" i="326"/>
  <c r="G27" i="326"/>
  <c r="C28" i="326"/>
  <c r="G28" i="326"/>
  <c r="C29" i="326"/>
  <c r="G29" i="326"/>
  <c r="C30" i="326"/>
  <c r="G30" i="326"/>
  <c r="C31" i="326"/>
  <c r="G31" i="326"/>
  <c r="C32" i="326"/>
  <c r="G32" i="326"/>
  <c r="C33" i="326"/>
  <c r="G33" i="326"/>
  <c r="G34" i="326"/>
  <c r="C34" i="326"/>
  <c r="G44" i="335" l="1"/>
  <c r="D11" i="369"/>
  <c r="R21" i="378"/>
  <c r="R23" i="378" s="1"/>
  <c r="K32" i="378" s="1"/>
  <c r="K36" i="378" s="1"/>
  <c r="M23" i="378"/>
  <c r="F33" i="14"/>
  <c r="G32" i="14"/>
  <c r="H32" i="14" s="1"/>
  <c r="F5" i="305"/>
  <c r="F5" i="235"/>
  <c r="F34" i="14" l="1"/>
  <c r="G33" i="14"/>
  <c r="H33" i="14" s="1"/>
  <c r="AZ1" i="14"/>
  <c r="M30" i="231" a="1"/>
  <c r="M30" i="231" s="1"/>
  <c r="C2" i="345"/>
  <c r="C3" i="345"/>
  <c r="B3" i="368"/>
  <c r="B2" i="368"/>
  <c r="M235" i="192"/>
  <c r="B3" i="18"/>
  <c r="C98" i="335"/>
  <c r="C97" i="335"/>
  <c r="C96" i="335"/>
  <c r="C94" i="335"/>
  <c r="C93" i="335"/>
  <c r="C92" i="335"/>
  <c r="C90" i="335"/>
  <c r="C89" i="335"/>
  <c r="C88" i="335"/>
  <c r="C87" i="335"/>
  <c r="C85" i="335"/>
  <c r="C84" i="335"/>
  <c r="C83" i="335"/>
  <c r="C82" i="335"/>
  <c r="C81" i="335"/>
  <c r="C80" i="335"/>
  <c r="C79" i="335"/>
  <c r="C78" i="335"/>
  <c r="C77" i="335"/>
  <c r="C76" i="335"/>
  <c r="J22" i="7"/>
  <c r="J168" i="7"/>
  <c r="J133" i="7"/>
  <c r="J150" i="7"/>
  <c r="J122" i="7"/>
  <c r="J155" i="7"/>
  <c r="J172" i="7"/>
  <c r="J159" i="7"/>
  <c r="J170" i="7"/>
  <c r="J140" i="7"/>
  <c r="J169" i="7"/>
  <c r="J161" i="7"/>
  <c r="J163" i="7"/>
  <c r="J68" i="7"/>
  <c r="J79" i="7"/>
  <c r="J93" i="7"/>
  <c r="J128" i="7"/>
  <c r="J110" i="7"/>
  <c r="J64" i="7"/>
  <c r="J7" i="7"/>
  <c r="J171" i="7"/>
  <c r="J59" i="7"/>
  <c r="J167" i="7"/>
  <c r="J41" i="7"/>
  <c r="J73" i="7"/>
  <c r="J100" i="7"/>
  <c r="F35" i="14" l="1"/>
  <c r="G34" i="14"/>
  <c r="H34" i="14" s="1"/>
  <c r="BB36" i="345"/>
  <c r="L29" i="7"/>
  <c r="K39" i="7"/>
  <c r="L39" i="7"/>
  <c r="O27" i="237"/>
  <c r="M13" i="237"/>
  <c r="H30" i="231" a="1"/>
  <c r="H30" i="231" s="1"/>
  <c r="H23" i="305" a="1"/>
  <c r="H23" i="305" s="1"/>
  <c r="H22" i="305" a="1"/>
  <c r="H22" i="305" s="1"/>
  <c r="H21" i="305" a="1"/>
  <c r="H21" i="305" s="1"/>
  <c r="H20" i="305" a="1"/>
  <c r="H20" i="305" s="1"/>
  <c r="H19" i="305" a="1"/>
  <c r="H19" i="305" s="1"/>
  <c r="H18" i="305" a="1"/>
  <c r="H18" i="305" s="1"/>
  <c r="A24" i="7"/>
  <c r="A25" i="7" s="1"/>
  <c r="A26" i="7" s="1"/>
  <c r="A27" i="7" s="1"/>
  <c r="A28" i="7" s="1"/>
  <c r="A29" i="7" s="1"/>
  <c r="A30" i="7" s="1"/>
  <c r="A31" i="7" s="1"/>
  <c r="A32" i="7" s="1"/>
  <c r="A33" i="7" s="1"/>
  <c r="A34" i="7" s="1"/>
  <c r="A35" i="7" s="1"/>
  <c r="A36" i="7" s="1"/>
  <c r="A37" i="7" s="1"/>
  <c r="A38" i="7" s="1"/>
  <c r="A39" i="7" s="1"/>
  <c r="A40" i="7" s="1"/>
  <c r="G37" i="241"/>
  <c r="G38" i="241" s="1"/>
  <c r="G25" i="241"/>
  <c r="G26" i="241" s="1"/>
  <c r="P53" i="362"/>
  <c r="G48" i="362"/>
  <c r="G28" i="362"/>
  <c r="F36" i="14" l="1"/>
  <c r="G35" i="14"/>
  <c r="H35" i="14" s="1"/>
  <c r="I19" i="231"/>
  <c r="G39" i="241"/>
  <c r="G27" i="241"/>
  <c r="G49" i="362"/>
  <c r="G29" i="362"/>
  <c r="F37" i="14" l="1"/>
  <c r="G36" i="14"/>
  <c r="H36" i="14" s="1"/>
  <c r="G30" i="362"/>
  <c r="G40" i="241"/>
  <c r="G28" i="241"/>
  <c r="G50" i="362"/>
  <c r="F38" i="14" l="1"/>
  <c r="G37" i="14"/>
  <c r="H37" i="14" s="1"/>
  <c r="G31" i="362"/>
  <c r="G41" i="241"/>
  <c r="G29" i="241"/>
  <c r="G51" i="362"/>
  <c r="G32" i="362" l="1"/>
  <c r="G33" i="362" s="1"/>
  <c r="G38" i="14"/>
  <c r="H38" i="14" s="1"/>
  <c r="F39" i="14"/>
  <c r="G42" i="241"/>
  <c r="G30" i="241"/>
  <c r="G52" i="362"/>
  <c r="G39" i="14" l="1"/>
  <c r="H39" i="14" s="1"/>
  <c r="F40" i="14"/>
  <c r="G34" i="362"/>
  <c r="G43" i="241"/>
  <c r="G31" i="241"/>
  <c r="G9" i="14" l="1"/>
  <c r="H9" i="14" s="1"/>
  <c r="C6" i="310"/>
  <c r="G12" i="14"/>
  <c r="H12" i="14" s="1"/>
  <c r="G14" i="14"/>
  <c r="H14" i="14" s="1"/>
  <c r="G13" i="14"/>
  <c r="H13" i="14" s="1"/>
  <c r="G41" i="14"/>
  <c r="H41" i="14" s="1"/>
  <c r="G11" i="14"/>
  <c r="H11" i="14" s="1"/>
  <c r="G15" i="14"/>
  <c r="H15" i="14" s="1"/>
  <c r="G10" i="14"/>
  <c r="H10" i="14" s="1"/>
  <c r="G40" i="14"/>
  <c r="H40" i="14" s="1"/>
  <c r="G35" i="362"/>
  <c r="P9" i="362"/>
  <c r="Q9" i="362" s="1"/>
  <c r="F6" i="362"/>
  <c r="F4" i="362"/>
  <c r="F8" i="7"/>
  <c r="A7" i="7"/>
  <c r="A8" i="7" s="1"/>
  <c r="A9" i="7" s="1"/>
  <c r="A10" i="7" s="1"/>
  <c r="A11" i="7" s="1"/>
  <c r="A12" i="7" s="1"/>
  <c r="A13" i="7" s="1"/>
  <c r="A14" i="7" s="1"/>
  <c r="A15" i="7" s="1"/>
  <c r="A16" i="7" s="1"/>
  <c r="A17" i="7" s="1"/>
  <c r="A18" i="7" s="1"/>
  <c r="A19" i="7" s="1"/>
  <c r="A20" i="7" s="1"/>
  <c r="A21" i="7" s="1"/>
  <c r="A43" i="7" s="1"/>
  <c r="A44" i="7" s="1"/>
  <c r="A45" i="7" s="1"/>
  <c r="A46" i="7" s="1"/>
  <c r="A47" i="7" s="1"/>
  <c r="A48" i="7" s="1"/>
  <c r="A49" i="7" s="1"/>
  <c r="A50" i="7" s="1"/>
  <c r="A51" i="7" s="1"/>
  <c r="A52" i="7" s="1"/>
  <c r="A53" i="7" s="1"/>
  <c r="A54" i="7" s="1"/>
  <c r="A55" i="7" s="1"/>
  <c r="A56" i="7" s="1"/>
  <c r="A57" i="7" s="1"/>
  <c r="A58" i="7" s="1"/>
  <c r="A61" i="7" s="1"/>
  <c r="A62" i="7" s="1"/>
  <c r="A63" i="7" s="1"/>
  <c r="A66" i="7" s="1"/>
  <c r="A67" i="7" s="1"/>
  <c r="A70" i="7" s="1"/>
  <c r="A71" i="7" s="1"/>
  <c r="A72" i="7" s="1"/>
  <c r="A75" i="7" s="1"/>
  <c r="A76" i="7" s="1"/>
  <c r="A77" i="7" s="1"/>
  <c r="A78" i="7" s="1"/>
  <c r="A81" i="7" s="1"/>
  <c r="A82" i="7" s="1"/>
  <c r="A83" i="7" s="1"/>
  <c r="A84" i="7" s="1"/>
  <c r="A85" i="7" s="1"/>
  <c r="A86" i="7" s="1"/>
  <c r="A87" i="7" s="1"/>
  <c r="A88" i="7" s="1"/>
  <c r="A89" i="7" s="1"/>
  <c r="A90" i="7" s="1"/>
  <c r="A91" i="7" s="1"/>
  <c r="A92" i="7" s="1"/>
  <c r="A95" i="7" s="1"/>
  <c r="A96" i="7" s="1"/>
  <c r="A97" i="7" s="1"/>
  <c r="A98" i="7" s="1"/>
  <c r="A99" i="7" s="1"/>
  <c r="A100" i="7" s="1"/>
  <c r="A103" i="7" s="1"/>
  <c r="A104" i="7" s="1"/>
  <c r="A105" i="7" s="1"/>
  <c r="A106" i="7" s="1"/>
  <c r="A107" i="7" s="1"/>
  <c r="A108" i="7" s="1"/>
  <c r="A109" i="7" s="1"/>
  <c r="A110" i="7" s="1"/>
  <c r="A113" i="7" s="1"/>
  <c r="A114" i="7" s="1"/>
  <c r="A115" i="7" s="1"/>
  <c r="A116" i="7" s="1"/>
  <c r="A117" i="7" s="1"/>
  <c r="A118" i="7" s="1"/>
  <c r="A119" i="7" s="1"/>
  <c r="A120" i="7" s="1"/>
  <c r="A121" i="7" s="1"/>
  <c r="A122" i="7" s="1"/>
  <c r="A125" i="7" s="1"/>
  <c r="A126" i="7" s="1"/>
  <c r="A127" i="7" s="1"/>
  <c r="A128" i="7" s="1"/>
  <c r="A131" i="7" s="1"/>
  <c r="A132" i="7" s="1"/>
  <c r="A133" i="7" s="1"/>
  <c r="A136" i="7" s="1"/>
  <c r="A137" i="7" s="1"/>
  <c r="A138" i="7" s="1"/>
  <c r="A139" i="7" s="1"/>
  <c r="A140" i="7" s="1"/>
  <c r="A143" i="7" s="1"/>
  <c r="A144" i="7" s="1"/>
  <c r="A145" i="7" s="1"/>
  <c r="A146" i="7" s="1"/>
  <c r="A147" i="7" s="1"/>
  <c r="A148" i="7" s="1"/>
  <c r="A149" i="7" s="1"/>
  <c r="A150" i="7" s="1"/>
  <c r="A153" i="7" s="1"/>
  <c r="A154" i="7" s="1"/>
  <c r="A155" i="7" s="1"/>
  <c r="A158" i="7" s="1"/>
  <c r="A159" i="7" s="1"/>
  <c r="A166" i="7" s="1"/>
  <c r="A167" i="7" s="1"/>
  <c r="C11" i="235"/>
  <c r="C12" i="235" s="1"/>
  <c r="C13" i="235" s="1"/>
  <c r="C14" i="235" s="1"/>
  <c r="C15" i="235" s="1"/>
  <c r="G9" i="235"/>
  <c r="H9" i="235" s="1"/>
  <c r="F6" i="235"/>
  <c r="F4" i="235"/>
  <c r="C11" i="236"/>
  <c r="C12" i="236" s="1"/>
  <c r="C13" i="236" s="1"/>
  <c r="C14" i="236" s="1"/>
  <c r="C15" i="236" s="1"/>
  <c r="G9" i="236"/>
  <c r="H9" i="236" s="1"/>
  <c r="F6" i="236"/>
  <c r="I4" i="236"/>
  <c r="F4" i="236"/>
  <c r="C11" i="234"/>
  <c r="C12" i="234" s="1"/>
  <c r="C13" i="234" s="1"/>
  <c r="G9" i="234"/>
  <c r="H9" i="234" s="1"/>
  <c r="F6" i="234"/>
  <c r="I4" i="234"/>
  <c r="F4" i="234"/>
  <c r="G36" i="361"/>
  <c r="I36" i="361" s="1"/>
  <c r="G23" i="361"/>
  <c r="I4" i="233"/>
  <c r="F3" i="231" a="1"/>
  <c r="F3" i="231" s="1"/>
  <c r="C1" i="305"/>
  <c r="F4" i="305"/>
  <c r="F6" i="305"/>
  <c r="G9" i="305"/>
  <c r="H9" i="305" s="1"/>
  <c r="C11" i="305"/>
  <c r="C12" i="305" s="1"/>
  <c r="C11" i="238"/>
  <c r="C12" i="238" s="1"/>
  <c r="C13" i="238" s="1"/>
  <c r="G9" i="238"/>
  <c r="H9" i="238" s="1"/>
  <c r="F6" i="238"/>
  <c r="F4" i="238"/>
  <c r="I2" i="238"/>
  <c r="F6" i="241"/>
  <c r="F4" i="241"/>
  <c r="I2" i="241"/>
  <c r="B3" i="325"/>
  <c r="B2" i="325"/>
  <c r="C1" i="325"/>
  <c r="B3" i="282"/>
  <c r="B2" i="282"/>
  <c r="C1" i="282"/>
  <c r="C1" i="322"/>
  <c r="N34" i="192" s="1"/>
  <c r="B3" i="322"/>
  <c r="B2" i="322"/>
  <c r="I4" i="312"/>
  <c r="M4" i="361"/>
  <c r="C11" i="361"/>
  <c r="C12" i="361" s="1"/>
  <c r="K9" i="361"/>
  <c r="L9" i="361" s="1"/>
  <c r="F6" i="361"/>
  <c r="F4" i="361"/>
  <c r="D146" i="324" l="1"/>
  <c r="D148" i="324"/>
  <c r="G104" i="324"/>
  <c r="D150" i="324"/>
  <c r="D149" i="324"/>
  <c r="G149" i="324" s="1"/>
  <c r="D147" i="324"/>
  <c r="F149" i="324"/>
  <c r="D151" i="324"/>
  <c r="D152" i="324"/>
  <c r="H138" i="324"/>
  <c r="E138" i="324"/>
  <c r="D138" i="324"/>
  <c r="F138" i="324" s="1"/>
  <c r="H104" i="324"/>
  <c r="H126" i="192"/>
  <c r="G24" i="361"/>
  <c r="G25" i="361" s="1"/>
  <c r="K23" i="361"/>
  <c r="J23" i="361"/>
  <c r="I23" i="361"/>
  <c r="H23" i="361"/>
  <c r="D11" i="235"/>
  <c r="D11" i="236"/>
  <c r="D238" i="192"/>
  <c r="L238" i="192"/>
  <c r="I262" i="192"/>
  <c r="K238" i="192"/>
  <c r="G268" i="324"/>
  <c r="J238" i="192"/>
  <c r="G299" i="324"/>
  <c r="I238" i="192"/>
  <c r="H299" i="324"/>
  <c r="D299" i="324"/>
  <c r="N237" i="192"/>
  <c r="M238" i="192"/>
  <c r="G36" i="362"/>
  <c r="M130" i="192"/>
  <c r="M126" i="192"/>
  <c r="I78" i="192"/>
  <c r="G129" i="192"/>
  <c r="I36" i="192"/>
  <c r="M244" i="192"/>
  <c r="D228" i="192"/>
  <c r="L126" i="192"/>
  <c r="D129" i="192"/>
  <c r="L244" i="192"/>
  <c r="N227" i="192"/>
  <c r="K130" i="192"/>
  <c r="K126" i="192"/>
  <c r="I94" i="192"/>
  <c r="J94" i="192"/>
  <c r="K94" i="192"/>
  <c r="N129" i="192"/>
  <c r="J130" i="192"/>
  <c r="D78" i="192"/>
  <c r="I88" i="192"/>
  <c r="L34" i="192"/>
  <c r="J244" i="192"/>
  <c r="L227" i="192"/>
  <c r="K34" i="192"/>
  <c r="I244" i="192"/>
  <c r="K227" i="192"/>
  <c r="L129" i="192"/>
  <c r="J128" i="192"/>
  <c r="J34" i="192"/>
  <c r="I227" i="192"/>
  <c r="L94" i="192"/>
  <c r="M129" i="192"/>
  <c r="J129" i="192"/>
  <c r="N81" i="192"/>
  <c r="M94" i="192"/>
  <c r="N88" i="192"/>
  <c r="M88" i="192"/>
  <c r="N128" i="192"/>
  <c r="K64" i="192"/>
  <c r="M35" i="192"/>
  <c r="D244" i="192"/>
  <c r="L88" i="192"/>
  <c r="M128" i="192"/>
  <c r="J126" i="192"/>
  <c r="D81" i="192"/>
  <c r="J64" i="192"/>
  <c r="L35" i="192"/>
  <c r="N228" i="192"/>
  <c r="K129" i="192"/>
  <c r="I34" i="192"/>
  <c r="K88" i="192"/>
  <c r="L128" i="192"/>
  <c r="D134" i="192"/>
  <c r="H130" i="192"/>
  <c r="I64" i="192"/>
  <c r="K35" i="192"/>
  <c r="M228" i="192"/>
  <c r="D227" i="192"/>
  <c r="L130" i="192"/>
  <c r="D88" i="192"/>
  <c r="M34" i="192"/>
  <c r="J88" i="192"/>
  <c r="K128" i="192"/>
  <c r="N78" i="192"/>
  <c r="H138" i="192"/>
  <c r="N64" i="192"/>
  <c r="J35" i="192"/>
  <c r="L228" i="192"/>
  <c r="M63" i="192"/>
  <c r="M81" i="192"/>
  <c r="N127" i="192"/>
  <c r="M78" i="192"/>
  <c r="D138" i="192"/>
  <c r="M64" i="192"/>
  <c r="I35" i="192"/>
  <c r="K228" i="192"/>
  <c r="G191" i="324"/>
  <c r="M127" i="192"/>
  <c r="L78" i="192"/>
  <c r="H129" i="192"/>
  <c r="M36" i="192"/>
  <c r="D36" i="192"/>
  <c r="J228" i="192"/>
  <c r="N130" i="192"/>
  <c r="N126" i="192"/>
  <c r="J78" i="192"/>
  <c r="D130" i="192"/>
  <c r="J36" i="192"/>
  <c r="N244" i="192"/>
  <c r="M227" i="192"/>
  <c r="I81" i="192"/>
  <c r="L64" i="192"/>
  <c r="L81" i="192"/>
  <c r="K81" i="192"/>
  <c r="L127" i="192"/>
  <c r="K78" i="192"/>
  <c r="H128" i="192"/>
  <c r="L36" i="192"/>
  <c r="D35" i="192"/>
  <c r="N36" i="192" s="1"/>
  <c r="I228" i="192"/>
  <c r="K127" i="192"/>
  <c r="K77" i="192"/>
  <c r="G130" i="192"/>
  <c r="K36" i="192"/>
  <c r="D34" i="192"/>
  <c r="N35" i="192" s="1"/>
  <c r="K244" i="192"/>
  <c r="J227" i="192"/>
  <c r="J81" i="192"/>
  <c r="D11" i="234"/>
  <c r="F9" i="7"/>
  <c r="C16" i="235"/>
  <c r="C17" i="235" s="1"/>
  <c r="D17" i="235" s="1"/>
  <c r="D15" i="235"/>
  <c r="D14" i="235"/>
  <c r="D13" i="235"/>
  <c r="D12" i="235"/>
  <c r="C16" i="236"/>
  <c r="C17" i="236" s="1"/>
  <c r="D17" i="236" s="1"/>
  <c r="D15" i="236"/>
  <c r="D14" i="236"/>
  <c r="D13" i="236"/>
  <c r="D12" i="236"/>
  <c r="D13" i="234"/>
  <c r="D12" i="234"/>
  <c r="C14" i="234"/>
  <c r="C15" i="234" s="1"/>
  <c r="D11" i="305"/>
  <c r="D12" i="305"/>
  <c r="C13" i="305"/>
  <c r="C14" i="238"/>
  <c r="C15" i="238" s="1"/>
  <c r="D15" i="238" s="1"/>
  <c r="D13" i="238"/>
  <c r="D11" i="238"/>
  <c r="D12" i="238"/>
  <c r="D12" i="361"/>
  <c r="C13" i="361"/>
  <c r="D5" i="369"/>
  <c r="I19" i="353"/>
  <c r="J7" i="353" s="1"/>
  <c r="B4" i="353"/>
  <c r="B2" i="353"/>
  <c r="G138" i="324" l="1"/>
  <c r="B138" i="324" s="1"/>
  <c r="J19" i="353"/>
  <c r="J4" i="353" s="1"/>
  <c r="G26" i="361"/>
  <c r="G27" i="361" s="1"/>
  <c r="K25" i="361"/>
  <c r="I25" i="361"/>
  <c r="J25" i="361"/>
  <c r="H25" i="361"/>
  <c r="H24" i="361"/>
  <c r="I24" i="361"/>
  <c r="K24" i="361"/>
  <c r="J24" i="361"/>
  <c r="B35" i="192"/>
  <c r="B238" i="192"/>
  <c r="N37" i="192"/>
  <c r="B244" i="192"/>
  <c r="G37" i="362"/>
  <c r="B228" i="192"/>
  <c r="L37" i="192"/>
  <c r="B81" i="192"/>
  <c r="B227" i="192"/>
  <c r="M37" i="192"/>
  <c r="J37" i="192"/>
  <c r="I130" i="192"/>
  <c r="B130" i="192" s="1"/>
  <c r="B88" i="192"/>
  <c r="I129" i="192"/>
  <c r="B129" i="192" s="1"/>
  <c r="K37" i="192"/>
  <c r="B36" i="192"/>
  <c r="B78" i="192"/>
  <c r="B34" i="192"/>
  <c r="I37" i="192"/>
  <c r="D14" i="234"/>
  <c r="F10" i="7"/>
  <c r="D16" i="235"/>
  <c r="D16" i="236"/>
  <c r="D15" i="234"/>
  <c r="C16" i="234"/>
  <c r="D13" i="305"/>
  <c r="C14" i="305"/>
  <c r="D14" i="238"/>
  <c r="C14" i="361"/>
  <c r="D13" i="361"/>
  <c r="K27" i="361" l="1"/>
  <c r="J27" i="361"/>
  <c r="I27" i="361"/>
  <c r="H27" i="361"/>
  <c r="J26" i="361"/>
  <c r="I26" i="361"/>
  <c r="H26" i="361"/>
  <c r="K26" i="361"/>
  <c r="G38" i="362"/>
  <c r="F11" i="7"/>
  <c r="C17" i="234"/>
  <c r="D17" i="234" s="1"/>
  <c r="D16" i="234"/>
  <c r="G28" i="361"/>
  <c r="C15" i="305"/>
  <c r="D14" i="305"/>
  <c r="D14" i="361"/>
  <c r="C15" i="361"/>
  <c r="I28" i="361" l="1"/>
  <c r="H28" i="361"/>
  <c r="K28" i="361"/>
  <c r="J28" i="361"/>
  <c r="G39" i="362"/>
  <c r="F12" i="7"/>
  <c r="C12" i="362"/>
  <c r="D11" i="362"/>
  <c r="G29" i="361"/>
  <c r="C16" i="305"/>
  <c r="D15" i="305"/>
  <c r="C16" i="361"/>
  <c r="D15" i="361"/>
  <c r="F13" i="7" l="1"/>
  <c r="F14" i="7" s="1"/>
  <c r="J29" i="361"/>
  <c r="K29" i="361"/>
  <c r="I29" i="361"/>
  <c r="H29" i="361"/>
  <c r="G40" i="362"/>
  <c r="D12" i="362"/>
  <c r="C13" i="362"/>
  <c r="C14" i="362" s="1"/>
  <c r="C15" i="362" s="1"/>
  <c r="G30" i="361"/>
  <c r="C17" i="305"/>
  <c r="C18" i="305" s="1"/>
  <c r="D16" i="305"/>
  <c r="C17" i="361"/>
  <c r="D17" i="361" s="1"/>
  <c r="D16" i="361"/>
  <c r="F15" i="7" l="1"/>
  <c r="J30" i="361"/>
  <c r="I30" i="361"/>
  <c r="H30" i="361"/>
  <c r="K30" i="361"/>
  <c r="G41" i="362"/>
  <c r="C19" i="305"/>
  <c r="D18" i="305"/>
  <c r="D15" i="362"/>
  <c r="C16" i="362"/>
  <c r="D14" i="362"/>
  <c r="D13" i="362"/>
  <c r="G31" i="361"/>
  <c r="D17" i="305"/>
  <c r="H96" i="324"/>
  <c r="H84" i="324"/>
  <c r="H85" i="324"/>
  <c r="H86" i="324"/>
  <c r="H90" i="324"/>
  <c r="H239" i="324"/>
  <c r="G239" i="324"/>
  <c r="D239" i="324"/>
  <c r="H238" i="324"/>
  <c r="G238" i="324"/>
  <c r="D238" i="324"/>
  <c r="G244" i="324"/>
  <c r="G246" i="324"/>
  <c r="H250" i="324"/>
  <c r="G250" i="324"/>
  <c r="D250" i="324"/>
  <c r="H40" i="324"/>
  <c r="G40" i="324"/>
  <c r="H39" i="324"/>
  <c r="G39" i="324"/>
  <c r="H38" i="324"/>
  <c r="G38" i="324"/>
  <c r="D40" i="324"/>
  <c r="D39" i="324"/>
  <c r="D38" i="324"/>
  <c r="H68" i="324"/>
  <c r="D70" i="324"/>
  <c r="G70" i="324"/>
  <c r="D169" i="324"/>
  <c r="D170" i="324"/>
  <c r="D96" i="324"/>
  <c r="G96" i="324"/>
  <c r="N39" i="7"/>
  <c r="M39" i="7"/>
  <c r="M38" i="7"/>
  <c r="H143" i="324"/>
  <c r="F143" i="324"/>
  <c r="H141" i="324"/>
  <c r="F141" i="324"/>
  <c r="G90" i="324"/>
  <c r="D90" i="324"/>
  <c r="G86" i="324"/>
  <c r="D86" i="324"/>
  <c r="AP28" i="326"/>
  <c r="AA28" i="326"/>
  <c r="Z28" i="326"/>
  <c r="X28" i="326"/>
  <c r="W28" i="326"/>
  <c r="V28" i="326"/>
  <c r="U28" i="326"/>
  <c r="L28" i="326" s="1" a="1"/>
  <c r="L28" i="326" s="1"/>
  <c r="M28" i="326"/>
  <c r="T28" i="326" s="1"/>
  <c r="X23" i="326"/>
  <c r="F16" i="7" l="1"/>
  <c r="F17" i="7" s="1"/>
  <c r="F18" i="7" s="1"/>
  <c r="F19" i="7" s="1"/>
  <c r="F20" i="7" s="1"/>
  <c r="F21" i="7" s="1"/>
  <c r="K31" i="361"/>
  <c r="J31" i="361"/>
  <c r="I31" i="361"/>
  <c r="H31" i="361"/>
  <c r="D19" i="305"/>
  <c r="C20" i="305"/>
  <c r="C17" i="362"/>
  <c r="D16" i="362"/>
  <c r="G32" i="361"/>
  <c r="B238" i="324"/>
  <c r="B239" i="324"/>
  <c r="H41" i="324"/>
  <c r="B250" i="324"/>
  <c r="B39" i="324"/>
  <c r="B38" i="324"/>
  <c r="B40" i="324"/>
  <c r="G41" i="324"/>
  <c r="B96" i="324"/>
  <c r="B90" i="324"/>
  <c r="B86" i="324"/>
  <c r="AD28" i="326"/>
  <c r="AG28" i="326"/>
  <c r="D78" i="7"/>
  <c r="D77" i="7"/>
  <c r="D43" i="7"/>
  <c r="D28" i="7"/>
  <c r="D127" i="7"/>
  <c r="D126" i="7"/>
  <c r="D125" i="7"/>
  <c r="D124" i="7"/>
  <c r="D123" i="7"/>
  <c r="J78" i="7"/>
  <c r="J43" i="7"/>
  <c r="J126" i="7"/>
  <c r="J124" i="7"/>
  <c r="J77" i="7"/>
  <c r="J28" i="7"/>
  <c r="J127" i="7"/>
  <c r="J125" i="7"/>
  <c r="J123" i="7"/>
  <c r="I32" i="361" l="1"/>
  <c r="H32" i="361"/>
  <c r="K32" i="361"/>
  <c r="J32" i="361"/>
  <c r="C21" i="305"/>
  <c r="D20" i="305"/>
  <c r="C18" i="362"/>
  <c r="D18" i="362" s="1"/>
  <c r="D17" i="362"/>
  <c r="G33" i="361"/>
  <c r="B41" i="324"/>
  <c r="R28" i="326"/>
  <c r="D141" i="7"/>
  <c r="D149" i="7"/>
  <c r="D148" i="7"/>
  <c r="D147" i="7"/>
  <c r="D146" i="7"/>
  <c r="D145" i="7"/>
  <c r="D144" i="7"/>
  <c r="D143" i="7"/>
  <c r="D142" i="7"/>
  <c r="G140" i="7"/>
  <c r="D120" i="7"/>
  <c r="D119" i="7"/>
  <c r="D118" i="7"/>
  <c r="D117" i="7"/>
  <c r="D115" i="7"/>
  <c r="D114" i="7"/>
  <c r="D116" i="7"/>
  <c r="D151" i="7"/>
  <c r="D95" i="7"/>
  <c r="D97" i="7"/>
  <c r="D96" i="7"/>
  <c r="D52" i="7"/>
  <c r="D40" i="7"/>
  <c r="D39" i="7"/>
  <c r="D38" i="7"/>
  <c r="D37" i="7"/>
  <c r="D36" i="7"/>
  <c r="D35" i="7"/>
  <c r="D34" i="7"/>
  <c r="D21" i="7"/>
  <c r="D20" i="7"/>
  <c r="D8" i="7"/>
  <c r="J145" i="7"/>
  <c r="J40" i="7"/>
  <c r="J142" i="7"/>
  <c r="J141" i="7"/>
  <c r="J52" i="7"/>
  <c r="J38" i="7"/>
  <c r="J36" i="7"/>
  <c r="J35" i="7"/>
  <c r="J148" i="7"/>
  <c r="J39" i="7"/>
  <c r="J143" i="7"/>
  <c r="J144" i="7"/>
  <c r="J37" i="7"/>
  <c r="J120" i="7"/>
  <c r="J118" i="7"/>
  <c r="J34" i="7"/>
  <c r="J21" i="7"/>
  <c r="J20" i="7"/>
  <c r="J116" i="7"/>
  <c r="J151" i="7"/>
  <c r="J147" i="7"/>
  <c r="J146" i="7"/>
  <c r="J119" i="7"/>
  <c r="J117" i="7"/>
  <c r="J115" i="7"/>
  <c r="J114" i="7"/>
  <c r="J149" i="7"/>
  <c r="J97" i="7"/>
  <c r="J96" i="7"/>
  <c r="J95" i="7"/>
  <c r="I33" i="361" l="1"/>
  <c r="K33" i="361"/>
  <c r="J33" i="361"/>
  <c r="H33" i="361"/>
  <c r="F22" i="305" a="1"/>
  <c r="F22" i="305" s="1"/>
  <c r="F23" i="305" a="1"/>
  <c r="F23" i="305" s="1"/>
  <c r="G23" i="305" a="1"/>
  <c r="G23" i="305" s="1"/>
  <c r="D21" i="305"/>
  <c r="C22" i="305"/>
  <c r="G34" i="361"/>
  <c r="G8" i="7"/>
  <c r="J8" i="7"/>
  <c r="I34" i="361" l="1"/>
  <c r="J34" i="361"/>
  <c r="K34" i="361"/>
  <c r="H34" i="361"/>
  <c r="G22" i="305" a="1"/>
  <c r="G22" i="305" s="1"/>
  <c r="D22" i="305"/>
  <c r="C23" i="305"/>
  <c r="G35" i="361"/>
  <c r="K35" i="361" l="1"/>
  <c r="J35" i="361"/>
  <c r="I35" i="361"/>
  <c r="H35" i="361"/>
  <c r="D23" i="305"/>
  <c r="C24" i="305"/>
  <c r="AX1" i="18"/>
  <c r="I27" i="237"/>
  <c r="J25" i="237"/>
  <c r="K25" i="237" s="1"/>
  <c r="M18" i="237"/>
  <c r="J27" i="237" l="1"/>
  <c r="C25" i="305"/>
  <c r="D24" i="305"/>
  <c r="K27" i="237"/>
  <c r="L25" i="237"/>
  <c r="I13" i="231"/>
  <c r="D25" i="305" l="1"/>
  <c r="C26" i="305"/>
  <c r="L27" i="237"/>
  <c r="M25" i="237"/>
  <c r="M27" i="237" s="1"/>
  <c r="D8" i="22"/>
  <c r="D7" i="22"/>
  <c r="D26" i="305" l="1"/>
  <c r="C27" i="305"/>
  <c r="D27" i="305" s="1"/>
  <c r="C37" i="326"/>
  <c r="C38" i="326"/>
  <c r="C39" i="326"/>
  <c r="C40" i="326"/>
  <c r="C42" i="326"/>
  <c r="C43" i="326"/>
  <c r="AU32" i="326"/>
  <c r="AV32" i="326" s="1" a="1"/>
  <c r="AV32" i="326" s="1"/>
  <c r="AU31" i="326"/>
  <c r="AV31" i="326" s="1" a="1"/>
  <c r="AV31" i="326" s="1"/>
  <c r="AU28" i="326"/>
  <c r="AU10" i="326"/>
  <c r="AV10" i="326" s="1" a="1"/>
  <c r="AV10" i="326" s="1"/>
  <c r="L49" i="326" a="1"/>
  <c r="L49" i="326" s="1"/>
  <c r="L48" i="326" a="1"/>
  <c r="L48" i="326" s="1"/>
  <c r="L41" i="326" a="1"/>
  <c r="L41" i="326" s="1"/>
  <c r="L99" i="335" a="1"/>
  <c r="L99" i="335" s="1"/>
  <c r="L98" i="335" a="1"/>
  <c r="L98" i="335" s="1"/>
  <c r="L91" i="335" a="1"/>
  <c r="L91" i="335" s="1"/>
  <c r="AV31" i="335" a="1"/>
  <c r="AU30" i="335"/>
  <c r="AV30" i="335" s="1" a="1"/>
  <c r="AV30" i="335" s="1"/>
  <c r="AU27" i="335"/>
  <c r="AV27" i="335" s="1" a="1"/>
  <c r="AV27" i="335" s="1"/>
  <c r="AU9" i="335"/>
  <c r="AV9" i="335" s="1" a="1"/>
  <c r="AV9" i="335" s="1"/>
  <c r="AK99" i="335"/>
  <c r="AE99" i="335"/>
  <c r="T99" i="335"/>
  <c r="G99" i="335"/>
  <c r="AK98" i="335"/>
  <c r="AE98" i="335"/>
  <c r="T98" i="335"/>
  <c r="G98" i="335"/>
  <c r="AK97" i="335"/>
  <c r="AF97" i="335"/>
  <c r="AE97" i="335"/>
  <c r="U97" i="335"/>
  <c r="L97" i="335" s="1" a="1"/>
  <c r="L97" i="335" s="1"/>
  <c r="T97" i="335"/>
  <c r="G97" i="335"/>
  <c r="AK96" i="335"/>
  <c r="AE96" i="335"/>
  <c r="X96" i="335"/>
  <c r="U96" i="335"/>
  <c r="L96" i="335" s="1" a="1"/>
  <c r="L96" i="335" s="1"/>
  <c r="T96" i="335"/>
  <c r="G96" i="335"/>
  <c r="AK95" i="335"/>
  <c r="AE95" i="335"/>
  <c r="T95" i="335"/>
  <c r="G95" i="335"/>
  <c r="AK94" i="335"/>
  <c r="AE94" i="335"/>
  <c r="U94" i="335"/>
  <c r="L94" i="335" s="1" a="1"/>
  <c r="L94" i="335" s="1"/>
  <c r="T94" i="335"/>
  <c r="G94" i="335"/>
  <c r="AK93" i="335"/>
  <c r="AE93" i="335"/>
  <c r="U93" i="335"/>
  <c r="L93" i="335" s="1" a="1"/>
  <c r="L93" i="335" s="1"/>
  <c r="T93" i="335"/>
  <c r="G93" i="335"/>
  <c r="AK92" i="335"/>
  <c r="AE92" i="335"/>
  <c r="U92" i="335"/>
  <c r="L92" i="335" s="1" a="1"/>
  <c r="L92" i="335" s="1"/>
  <c r="T92" i="335"/>
  <c r="G92" i="335"/>
  <c r="AK91" i="335"/>
  <c r="AE91" i="335"/>
  <c r="T91" i="335"/>
  <c r="G91" i="335"/>
  <c r="AK90" i="335"/>
  <c r="AE90" i="335"/>
  <c r="U90" i="335"/>
  <c r="L90" i="335" s="1" a="1"/>
  <c r="L90" i="335" s="1"/>
  <c r="T90" i="335"/>
  <c r="G90" i="335"/>
  <c r="AK89" i="335"/>
  <c r="AE89" i="335"/>
  <c r="U89" i="335"/>
  <c r="L89" i="335" s="1" a="1"/>
  <c r="L89" i="335" s="1"/>
  <c r="T89" i="335"/>
  <c r="AK88" i="335"/>
  <c r="AE88" i="335"/>
  <c r="U88" i="335"/>
  <c r="L88" i="335" s="1" a="1"/>
  <c r="L88" i="335" s="1"/>
  <c r="T88" i="335"/>
  <c r="AK87" i="335"/>
  <c r="AE87" i="335"/>
  <c r="U87" i="335"/>
  <c r="L87" i="335" s="1" a="1"/>
  <c r="L87" i="335" s="1"/>
  <c r="T87" i="335"/>
  <c r="AK86" i="335"/>
  <c r="AE86" i="335"/>
  <c r="T86" i="335"/>
  <c r="L86" i="335" a="1"/>
  <c r="L86" i="335" s="1"/>
  <c r="AK85" i="335"/>
  <c r="T85" i="335"/>
  <c r="AP84" i="335"/>
  <c r="AJ84" i="335"/>
  <c r="AE84" i="335"/>
  <c r="AA84" i="335"/>
  <c r="Z84" i="335"/>
  <c r="X84" i="335"/>
  <c r="W84" i="335"/>
  <c r="V84" i="335"/>
  <c r="U84" i="335"/>
  <c r="L84" i="335" s="1" a="1"/>
  <c r="L84" i="335" s="1"/>
  <c r="Q84" i="335"/>
  <c r="M84" i="335"/>
  <c r="S84" i="335" s="1"/>
  <c r="G84" i="335"/>
  <c r="AP83" i="335"/>
  <c r="AJ83" i="335"/>
  <c r="AE83" i="335"/>
  <c r="AA83" i="335"/>
  <c r="Z83" i="335"/>
  <c r="X83" i="335"/>
  <c r="W83" i="335"/>
  <c r="V83" i="335"/>
  <c r="U83" i="335"/>
  <c r="L83" i="335" s="1" a="1"/>
  <c r="L83" i="335" s="1"/>
  <c r="Q83" i="335"/>
  <c r="M83" i="335"/>
  <c r="AG83" i="335" s="1"/>
  <c r="G83" i="335"/>
  <c r="AP82" i="335"/>
  <c r="AJ82" i="335"/>
  <c r="AE82" i="335"/>
  <c r="AA82" i="335"/>
  <c r="Z82" i="335"/>
  <c r="X82" i="335"/>
  <c r="W82" i="335"/>
  <c r="V82" i="335"/>
  <c r="U82" i="335"/>
  <c r="L82" i="335" s="1" a="1"/>
  <c r="L82" i="335" s="1"/>
  <c r="M82" i="335"/>
  <c r="AD82" i="335" s="1"/>
  <c r="AP81" i="335"/>
  <c r="AJ81" i="335"/>
  <c r="AE81" i="335"/>
  <c r="AA81" i="335"/>
  <c r="Z81" i="335"/>
  <c r="X81" i="335"/>
  <c r="W81" i="335"/>
  <c r="V81" i="335"/>
  <c r="U81" i="335"/>
  <c r="L81" i="335" s="1" a="1"/>
  <c r="L81" i="335" s="1"/>
  <c r="Q81" i="335"/>
  <c r="M81" i="335"/>
  <c r="AD81" i="335" s="1"/>
  <c r="AP80" i="335"/>
  <c r="AJ80" i="335"/>
  <c r="AE80" i="335"/>
  <c r="AA80" i="335"/>
  <c r="Z80" i="335"/>
  <c r="X80" i="335"/>
  <c r="W80" i="335"/>
  <c r="V80" i="335"/>
  <c r="U80" i="335"/>
  <c r="L80" i="335" s="1" a="1"/>
  <c r="L80" i="335" s="1"/>
  <c r="M80" i="335"/>
  <c r="T80" i="335" s="1"/>
  <c r="AP79" i="335"/>
  <c r="AJ79" i="335"/>
  <c r="AE79" i="335"/>
  <c r="AA79" i="335"/>
  <c r="Z79" i="335"/>
  <c r="X79" i="335"/>
  <c r="W79" i="335"/>
  <c r="V79" i="335"/>
  <c r="U79" i="335"/>
  <c r="L79" i="335" s="1" a="1"/>
  <c r="L79" i="335" s="1"/>
  <c r="M79" i="335"/>
  <c r="AP78" i="335"/>
  <c r="AA78" i="335"/>
  <c r="Z78" i="335"/>
  <c r="X78" i="335"/>
  <c r="W78" i="335"/>
  <c r="V78" i="335"/>
  <c r="U78" i="335"/>
  <c r="L78" i="335" s="1" a="1"/>
  <c r="L78" i="335" s="1"/>
  <c r="Q78" i="335"/>
  <c r="M78" i="335"/>
  <c r="AG78" i="335" s="1"/>
  <c r="AP77" i="335"/>
  <c r="AA77" i="335"/>
  <c r="Z77" i="335"/>
  <c r="X77" i="335"/>
  <c r="W77" i="335"/>
  <c r="V77" i="335"/>
  <c r="U77" i="335"/>
  <c r="L77" i="335" s="1" a="1"/>
  <c r="L77" i="335" s="1"/>
  <c r="Q77" i="335"/>
  <c r="M77" i="335"/>
  <c r="AP76" i="335"/>
  <c r="AA76" i="335"/>
  <c r="Z76" i="335"/>
  <c r="X76" i="335"/>
  <c r="W76" i="335"/>
  <c r="V76" i="335"/>
  <c r="U76" i="335"/>
  <c r="L76" i="335" s="1" a="1"/>
  <c r="L76" i="335" s="1"/>
  <c r="Q76" i="335"/>
  <c r="M76" i="335"/>
  <c r="T76" i="335" s="1"/>
  <c r="AP75" i="335"/>
  <c r="AJ75" i="335"/>
  <c r="AE75" i="335"/>
  <c r="AA75" i="335"/>
  <c r="Z75" i="335"/>
  <c r="X75" i="335"/>
  <c r="W75" i="335"/>
  <c r="V75" i="335"/>
  <c r="U75" i="335"/>
  <c r="L75" i="335" s="1" a="1"/>
  <c r="L75" i="335" s="1"/>
  <c r="M75" i="335"/>
  <c r="T75" i="335" s="1"/>
  <c r="AP74" i="335"/>
  <c r="AJ74" i="335"/>
  <c r="AE74" i="335"/>
  <c r="AA74" i="335"/>
  <c r="Z74" i="335"/>
  <c r="X74" i="335"/>
  <c r="W74" i="335"/>
  <c r="V74" i="335"/>
  <c r="U74" i="335"/>
  <c r="L74" i="335" s="1" a="1"/>
  <c r="L74" i="335" s="1"/>
  <c r="M74" i="335"/>
  <c r="T74" i="335" s="1"/>
  <c r="AP73" i="335"/>
  <c r="AJ73" i="335"/>
  <c r="AE73" i="335"/>
  <c r="AA73" i="335"/>
  <c r="Z73" i="335"/>
  <c r="X73" i="335"/>
  <c r="W73" i="335"/>
  <c r="V73" i="335"/>
  <c r="U73" i="335"/>
  <c r="L73" i="335" s="1" a="1"/>
  <c r="L73" i="335" s="1"/>
  <c r="M73" i="335"/>
  <c r="AD73" i="335" s="1"/>
  <c r="AP72" i="335"/>
  <c r="AA72" i="335"/>
  <c r="Z72" i="335"/>
  <c r="X72" i="335"/>
  <c r="W72" i="335"/>
  <c r="V72" i="335"/>
  <c r="U72" i="335"/>
  <c r="L72" i="335" s="1" a="1"/>
  <c r="L72" i="335" s="1"/>
  <c r="Q72" i="335"/>
  <c r="M72" i="335"/>
  <c r="T72" i="335" s="1"/>
  <c r="AP71" i="335"/>
  <c r="AA71" i="335"/>
  <c r="Z71" i="335"/>
  <c r="X71" i="335"/>
  <c r="W71" i="335"/>
  <c r="V71" i="335"/>
  <c r="U71" i="335"/>
  <c r="L71" i="335" s="1" a="1"/>
  <c r="L71" i="335" s="1"/>
  <c r="Q71" i="335"/>
  <c r="M71" i="335"/>
  <c r="AG71" i="335" s="1"/>
  <c r="AP70" i="335"/>
  <c r="AA70" i="335"/>
  <c r="Z70" i="335"/>
  <c r="X70" i="335"/>
  <c r="W70" i="335"/>
  <c r="V70" i="335"/>
  <c r="U70" i="335"/>
  <c r="L70" i="335" s="1" a="1"/>
  <c r="L70" i="335" s="1"/>
  <c r="M70" i="335"/>
  <c r="T70" i="335" s="1"/>
  <c r="AP69" i="335"/>
  <c r="AJ69" i="335"/>
  <c r="AE69" i="335"/>
  <c r="AA69" i="335"/>
  <c r="Z69" i="335"/>
  <c r="X69" i="335"/>
  <c r="W69" i="335"/>
  <c r="V69" i="335"/>
  <c r="U69" i="335"/>
  <c r="L69" i="335" s="1" a="1"/>
  <c r="L69" i="335" s="1"/>
  <c r="M69" i="335"/>
  <c r="T69" i="335" s="1"/>
  <c r="AP68" i="335"/>
  <c r="AA68" i="335"/>
  <c r="Z68" i="335"/>
  <c r="X68" i="335"/>
  <c r="W68" i="335"/>
  <c r="V68" i="335"/>
  <c r="U68" i="335"/>
  <c r="L68" i="335" s="1" a="1"/>
  <c r="L68" i="335" s="1"/>
  <c r="Q68" i="335"/>
  <c r="M68" i="335"/>
  <c r="AD68" i="335" s="1"/>
  <c r="AP67" i="335"/>
  <c r="AJ67" i="335"/>
  <c r="AE67" i="335"/>
  <c r="AA67" i="335"/>
  <c r="Z67" i="335"/>
  <c r="X67" i="335"/>
  <c r="W67" i="335"/>
  <c r="V67" i="335"/>
  <c r="U67" i="335"/>
  <c r="L67" i="335" s="1" a="1"/>
  <c r="L67" i="335" s="1"/>
  <c r="M67" i="335"/>
  <c r="T67" i="335" s="1"/>
  <c r="AP66" i="335"/>
  <c r="AJ66" i="335"/>
  <c r="AE66" i="335"/>
  <c r="AA66" i="335"/>
  <c r="Z66" i="335"/>
  <c r="X66" i="335"/>
  <c r="W66" i="335"/>
  <c r="V66" i="335"/>
  <c r="U66" i="335"/>
  <c r="L66" i="335" s="1" a="1"/>
  <c r="L66" i="335" s="1"/>
  <c r="M66" i="335"/>
  <c r="AP65" i="335"/>
  <c r="AJ65" i="335"/>
  <c r="AE65" i="335"/>
  <c r="AA65" i="335"/>
  <c r="Z65" i="335"/>
  <c r="X65" i="335"/>
  <c r="W65" i="335"/>
  <c r="V65" i="335"/>
  <c r="U65" i="335"/>
  <c r="L65" i="335" s="1" a="1"/>
  <c r="L65" i="335" s="1"/>
  <c r="M65" i="335"/>
  <c r="T65" i="335" s="1"/>
  <c r="AP64" i="335"/>
  <c r="AJ64" i="335"/>
  <c r="AE64" i="335"/>
  <c r="AA64" i="335"/>
  <c r="Z64" i="335"/>
  <c r="X64" i="335"/>
  <c r="W64" i="335"/>
  <c r="V64" i="335"/>
  <c r="U64" i="335"/>
  <c r="L64" i="335" s="1" a="1"/>
  <c r="L64" i="335" s="1"/>
  <c r="M64" i="335"/>
  <c r="AD64" i="335" s="1"/>
  <c r="AP63" i="335"/>
  <c r="AJ63" i="335"/>
  <c r="AE63" i="335"/>
  <c r="AA63" i="335"/>
  <c r="Z63" i="335"/>
  <c r="X63" i="335"/>
  <c r="W63" i="335"/>
  <c r="V63" i="335"/>
  <c r="U63" i="335"/>
  <c r="L63" i="335" s="1" a="1"/>
  <c r="L63" i="335" s="1"/>
  <c r="Q63" i="335"/>
  <c r="M63" i="335"/>
  <c r="AD63" i="335" s="1"/>
  <c r="AP62" i="335"/>
  <c r="AA62" i="335"/>
  <c r="Z62" i="335"/>
  <c r="X62" i="335"/>
  <c r="W62" i="335"/>
  <c r="V62" i="335"/>
  <c r="U62" i="335"/>
  <c r="L62" i="335" s="1" a="1"/>
  <c r="L62" i="335" s="1"/>
  <c r="M62" i="335"/>
  <c r="AG62" i="335" s="1"/>
  <c r="AP61" i="335"/>
  <c r="AJ61" i="335"/>
  <c r="AE61" i="335"/>
  <c r="AA61" i="335"/>
  <c r="Z61" i="335"/>
  <c r="X61" i="335"/>
  <c r="W61" i="335"/>
  <c r="V61" i="335"/>
  <c r="U61" i="335"/>
  <c r="L61" i="335" s="1" a="1"/>
  <c r="L61" i="335" s="1"/>
  <c r="M61" i="335"/>
  <c r="AG61" i="335" s="1"/>
  <c r="AP60" i="335"/>
  <c r="AA60" i="335"/>
  <c r="Z60" i="335"/>
  <c r="X60" i="335"/>
  <c r="W60" i="335"/>
  <c r="V60" i="335"/>
  <c r="U60" i="335"/>
  <c r="L60" i="335" s="1" a="1"/>
  <c r="L60" i="335" s="1"/>
  <c r="M60" i="335"/>
  <c r="AG60" i="335" s="1"/>
  <c r="AP59" i="335"/>
  <c r="AA59" i="335"/>
  <c r="Z59" i="335"/>
  <c r="X59" i="335"/>
  <c r="W59" i="335"/>
  <c r="V59" i="335"/>
  <c r="U59" i="335"/>
  <c r="L59" i="335" s="1" a="1"/>
  <c r="L59" i="335" s="1"/>
  <c r="M59" i="335"/>
  <c r="T59" i="335" s="1"/>
  <c r="AP58" i="335"/>
  <c r="AA58" i="335"/>
  <c r="Z58" i="335"/>
  <c r="X58" i="335"/>
  <c r="W58" i="335"/>
  <c r="V58" i="335"/>
  <c r="U58" i="335"/>
  <c r="L58" i="335" s="1" a="1"/>
  <c r="L58" i="335" s="1"/>
  <c r="M58" i="335"/>
  <c r="T58" i="335" s="1"/>
  <c r="AP57" i="335"/>
  <c r="AA57" i="335"/>
  <c r="Z57" i="335"/>
  <c r="X57" i="335"/>
  <c r="W57" i="335"/>
  <c r="V57" i="335"/>
  <c r="U57" i="335"/>
  <c r="L57" i="335" s="1" a="1"/>
  <c r="L57" i="335" s="1"/>
  <c r="Q57" i="335"/>
  <c r="M57" i="335"/>
  <c r="AD57" i="335" s="1"/>
  <c r="AP56" i="335"/>
  <c r="AA56" i="335"/>
  <c r="Z56" i="335"/>
  <c r="X56" i="335"/>
  <c r="W56" i="335"/>
  <c r="V56" i="335"/>
  <c r="U56" i="335"/>
  <c r="L56" i="335" s="1" a="1"/>
  <c r="L56" i="335" s="1"/>
  <c r="M56" i="335"/>
  <c r="AD56" i="335" s="1"/>
  <c r="AP55" i="335"/>
  <c r="AA55" i="335"/>
  <c r="Z55" i="335"/>
  <c r="X55" i="335"/>
  <c r="W55" i="335"/>
  <c r="V55" i="335"/>
  <c r="U55" i="335"/>
  <c r="L55" i="335" s="1" a="1"/>
  <c r="L55" i="335" s="1"/>
  <c r="Q55" i="335"/>
  <c r="M55" i="335"/>
  <c r="AG55" i="335" s="1"/>
  <c r="AP54" i="335"/>
  <c r="AJ54" i="335"/>
  <c r="AE54" i="335"/>
  <c r="AA54" i="335"/>
  <c r="Z54" i="335"/>
  <c r="X54" i="335"/>
  <c r="W54" i="335"/>
  <c r="V54" i="335"/>
  <c r="U54" i="335"/>
  <c r="L54" i="335" s="1" a="1"/>
  <c r="L54" i="335" s="1"/>
  <c r="M54" i="335"/>
  <c r="AG54" i="335" s="1"/>
  <c r="R54" i="335" s="1"/>
  <c r="AP53" i="335"/>
  <c r="AJ53" i="335"/>
  <c r="AE53" i="335"/>
  <c r="AA53" i="335"/>
  <c r="Z53" i="335"/>
  <c r="X53" i="335"/>
  <c r="W53" i="335"/>
  <c r="V53" i="335"/>
  <c r="U53" i="335"/>
  <c r="L53" i="335" s="1" a="1"/>
  <c r="L53" i="335" s="1"/>
  <c r="M53" i="335"/>
  <c r="AG53" i="335" s="1"/>
  <c r="AP52" i="335"/>
  <c r="AA52" i="335"/>
  <c r="Z52" i="335"/>
  <c r="X52" i="335"/>
  <c r="W52" i="335"/>
  <c r="V52" i="335"/>
  <c r="U52" i="335"/>
  <c r="L52" i="335" s="1" a="1"/>
  <c r="L52" i="335" s="1"/>
  <c r="Q52" i="335"/>
  <c r="M52" i="335"/>
  <c r="AG52" i="335" s="1"/>
  <c r="AP51" i="335"/>
  <c r="AA51" i="335"/>
  <c r="Z51" i="335"/>
  <c r="X51" i="335"/>
  <c r="W51" i="335"/>
  <c r="V51" i="335"/>
  <c r="U51" i="335"/>
  <c r="L51" i="335" s="1" a="1"/>
  <c r="L51" i="335" s="1"/>
  <c r="Q51" i="335"/>
  <c r="M51" i="335"/>
  <c r="AD51" i="335" s="1"/>
  <c r="AP50" i="335"/>
  <c r="AA50" i="335"/>
  <c r="Z50" i="335"/>
  <c r="X50" i="335"/>
  <c r="W50" i="335"/>
  <c r="V50" i="335"/>
  <c r="U50" i="335"/>
  <c r="L50" i="335" s="1" a="1"/>
  <c r="L50" i="335" s="1"/>
  <c r="M50" i="335"/>
  <c r="AG50" i="335" s="1"/>
  <c r="AP49" i="335"/>
  <c r="AJ49" i="335"/>
  <c r="AE49" i="335"/>
  <c r="AA49" i="335"/>
  <c r="Z49" i="335"/>
  <c r="X49" i="335"/>
  <c r="W49" i="335"/>
  <c r="V49" i="335"/>
  <c r="U49" i="335"/>
  <c r="L49" i="335" s="1" a="1"/>
  <c r="L49" i="335" s="1"/>
  <c r="M49" i="335"/>
  <c r="T49" i="335" s="1"/>
  <c r="AP48" i="335"/>
  <c r="AA48" i="335"/>
  <c r="Z48" i="335"/>
  <c r="X48" i="335"/>
  <c r="W48" i="335"/>
  <c r="V48" i="335"/>
  <c r="U48" i="335"/>
  <c r="L48" i="335" s="1" a="1"/>
  <c r="L48" i="335" s="1"/>
  <c r="M48" i="335"/>
  <c r="AP47" i="335"/>
  <c r="AA47" i="335"/>
  <c r="Z47" i="335"/>
  <c r="X47" i="335"/>
  <c r="W47" i="335"/>
  <c r="V47" i="335"/>
  <c r="U47" i="335"/>
  <c r="L47" i="335" s="1" a="1"/>
  <c r="L47" i="335" s="1"/>
  <c r="M47" i="335"/>
  <c r="AD47" i="335" s="1"/>
  <c r="AP46" i="335"/>
  <c r="AA46" i="335"/>
  <c r="Z46" i="335"/>
  <c r="X46" i="335"/>
  <c r="W46" i="335"/>
  <c r="V46" i="335"/>
  <c r="U46" i="335"/>
  <c r="L46" i="335" s="1" a="1"/>
  <c r="L46" i="335" s="1"/>
  <c r="M46" i="335"/>
  <c r="AG46" i="335" s="1"/>
  <c r="AP45" i="335"/>
  <c r="AA45" i="335"/>
  <c r="Z45" i="335"/>
  <c r="X45" i="335"/>
  <c r="W45" i="335"/>
  <c r="V45" i="335"/>
  <c r="U45" i="335"/>
  <c r="L45" i="335" s="1" a="1"/>
  <c r="L45" i="335" s="1"/>
  <c r="M45" i="335"/>
  <c r="T45" i="335" s="1"/>
  <c r="AP44" i="335"/>
  <c r="AJ44" i="335"/>
  <c r="AE44" i="335"/>
  <c r="AA44" i="335"/>
  <c r="Z44" i="335"/>
  <c r="X44" i="335"/>
  <c r="W44" i="335"/>
  <c r="V44" i="335"/>
  <c r="U44" i="335"/>
  <c r="L44" i="335" s="1" a="1"/>
  <c r="L44" i="335" s="1"/>
  <c r="M44" i="335"/>
  <c r="AP43" i="335"/>
  <c r="AA43" i="335"/>
  <c r="Z43" i="335"/>
  <c r="X43" i="335"/>
  <c r="W43" i="335"/>
  <c r="V43" i="335"/>
  <c r="U43" i="335"/>
  <c r="L43" i="335" s="1" a="1"/>
  <c r="L43" i="335" s="1"/>
  <c r="M43" i="335"/>
  <c r="AG43" i="335" s="1"/>
  <c r="AP42" i="335"/>
  <c r="AA42" i="335"/>
  <c r="Z42" i="335"/>
  <c r="X42" i="335"/>
  <c r="W42" i="335"/>
  <c r="V42" i="335"/>
  <c r="U42" i="335"/>
  <c r="L42" i="335" s="1" a="1"/>
  <c r="L42" i="335" s="1"/>
  <c r="Q42" i="335"/>
  <c r="M42" i="335"/>
  <c r="AD42" i="335" s="1"/>
  <c r="AP41" i="335"/>
  <c r="AA41" i="335"/>
  <c r="Z41" i="335"/>
  <c r="X41" i="335"/>
  <c r="W41" i="335"/>
  <c r="V41" i="335"/>
  <c r="U41" i="335"/>
  <c r="L41" i="335" s="1" a="1"/>
  <c r="L41" i="335" s="1"/>
  <c r="M41" i="335"/>
  <c r="AG41" i="335" s="1"/>
  <c r="AP40" i="335"/>
  <c r="AA40" i="335"/>
  <c r="Z40" i="335"/>
  <c r="X40" i="335"/>
  <c r="W40" i="335"/>
  <c r="V40" i="335"/>
  <c r="U40" i="335"/>
  <c r="L40" i="335" s="1" a="1"/>
  <c r="L40" i="335" s="1"/>
  <c r="Q40" i="335"/>
  <c r="M40" i="335"/>
  <c r="AD40" i="335" s="1"/>
  <c r="AP39" i="335"/>
  <c r="AA39" i="335"/>
  <c r="Z39" i="335"/>
  <c r="X39" i="335"/>
  <c r="W39" i="335"/>
  <c r="V39" i="335"/>
  <c r="U39" i="335"/>
  <c r="L39" i="335" s="1" a="1"/>
  <c r="L39" i="335" s="1"/>
  <c r="Q39" i="335"/>
  <c r="M39" i="335"/>
  <c r="AD39" i="335" s="1"/>
  <c r="AP38" i="335"/>
  <c r="AA38" i="335"/>
  <c r="Z38" i="335"/>
  <c r="X38" i="335"/>
  <c r="W38" i="335"/>
  <c r="V38" i="335"/>
  <c r="U38" i="335"/>
  <c r="L38" i="335" s="1" a="1"/>
  <c r="L38" i="335" s="1"/>
  <c r="Q38" i="335"/>
  <c r="M38" i="335"/>
  <c r="T38" i="335" s="1"/>
  <c r="AP37" i="335"/>
  <c r="AA37" i="335"/>
  <c r="Z37" i="335"/>
  <c r="X37" i="335"/>
  <c r="W37" i="335"/>
  <c r="V37" i="335"/>
  <c r="U37" i="335"/>
  <c r="L37" i="335" s="1" a="1"/>
  <c r="L37" i="335" s="1"/>
  <c r="M37" i="335"/>
  <c r="AD37" i="335" s="1"/>
  <c r="AP36" i="335"/>
  <c r="AJ36" i="335"/>
  <c r="AE36" i="335"/>
  <c r="AA36" i="335"/>
  <c r="Z36" i="335"/>
  <c r="X36" i="335"/>
  <c r="W36" i="335"/>
  <c r="V36" i="335"/>
  <c r="U36" i="335"/>
  <c r="L36" i="335" s="1" a="1"/>
  <c r="L36" i="335" s="1"/>
  <c r="M36" i="335"/>
  <c r="T36" i="335" s="1"/>
  <c r="AP35" i="335"/>
  <c r="AJ35" i="335"/>
  <c r="AE35" i="335"/>
  <c r="AA35" i="335"/>
  <c r="Z35" i="335"/>
  <c r="X35" i="335"/>
  <c r="W35" i="335"/>
  <c r="V35" i="335"/>
  <c r="U35" i="335"/>
  <c r="L35" i="335" s="1" a="1"/>
  <c r="L35" i="335" s="1"/>
  <c r="M35" i="335"/>
  <c r="AD35" i="335" s="1"/>
  <c r="AP34" i="335"/>
  <c r="AJ34" i="335"/>
  <c r="AE34" i="335"/>
  <c r="AA34" i="335"/>
  <c r="Z34" i="335"/>
  <c r="X34" i="335"/>
  <c r="W34" i="335"/>
  <c r="V34" i="335"/>
  <c r="U34" i="335"/>
  <c r="L34" i="335" s="1" a="1"/>
  <c r="L34" i="335" s="1"/>
  <c r="M34" i="335"/>
  <c r="AG34" i="335" s="1"/>
  <c r="AP33" i="335"/>
  <c r="AA33" i="335"/>
  <c r="Z33" i="335"/>
  <c r="X33" i="335"/>
  <c r="W33" i="335"/>
  <c r="V33" i="335"/>
  <c r="U33" i="335"/>
  <c r="L33" i="335" s="1" a="1"/>
  <c r="L33" i="335" s="1"/>
  <c r="M33" i="335"/>
  <c r="AP32" i="335"/>
  <c r="AA32" i="335"/>
  <c r="Z32" i="335"/>
  <c r="X32" i="335"/>
  <c r="W32" i="335"/>
  <c r="V32" i="335"/>
  <c r="U32" i="335"/>
  <c r="L32" i="335" s="1" a="1"/>
  <c r="L32" i="335" s="1"/>
  <c r="M32" i="335"/>
  <c r="AG32" i="335" s="1"/>
  <c r="AP31" i="335"/>
  <c r="AA31" i="335"/>
  <c r="Z31" i="335"/>
  <c r="X31" i="335"/>
  <c r="W31" i="335"/>
  <c r="V31" i="335"/>
  <c r="U31" i="335"/>
  <c r="L31" i="335" s="1" a="1"/>
  <c r="L31" i="335" s="1"/>
  <c r="M31" i="335"/>
  <c r="AD31" i="335" s="1"/>
  <c r="AP30" i="335"/>
  <c r="AJ30" i="335"/>
  <c r="AE30" i="335"/>
  <c r="AA30" i="335"/>
  <c r="Z30" i="335"/>
  <c r="X30" i="335"/>
  <c r="W30" i="335"/>
  <c r="V30" i="335"/>
  <c r="U30" i="335"/>
  <c r="L30" i="335" s="1" a="1"/>
  <c r="L30" i="335" s="1"/>
  <c r="M30" i="335"/>
  <c r="BB31" i="335" a="1"/>
  <c r="BB31" i="335" s="1"/>
  <c r="AP29" i="335"/>
  <c r="AJ29" i="335"/>
  <c r="AE29" i="335"/>
  <c r="AA29" i="335"/>
  <c r="Z29" i="335"/>
  <c r="X29" i="335"/>
  <c r="W29" i="335"/>
  <c r="V29" i="335"/>
  <c r="U29" i="335"/>
  <c r="L29" i="335" s="1" a="1"/>
  <c r="L29" i="335" s="1"/>
  <c r="M29" i="335"/>
  <c r="BB30" i="335" a="1"/>
  <c r="BB30" i="335" s="1"/>
  <c r="AP28" i="335"/>
  <c r="AA28" i="335"/>
  <c r="Z28" i="335"/>
  <c r="X28" i="335"/>
  <c r="W28" i="335"/>
  <c r="V28" i="335"/>
  <c r="U28" i="335"/>
  <c r="L28" i="335" s="1" a="1"/>
  <c r="L28" i="335" s="1"/>
  <c r="M28" i="335"/>
  <c r="AP27" i="335"/>
  <c r="AA27" i="335"/>
  <c r="Z27" i="335"/>
  <c r="X27" i="335"/>
  <c r="W27" i="335"/>
  <c r="V27" i="335"/>
  <c r="U27" i="335"/>
  <c r="L27" i="335" s="1" a="1"/>
  <c r="L27" i="335" s="1"/>
  <c r="M27" i="335"/>
  <c r="AD27" i="335" s="1"/>
  <c r="AP26" i="335"/>
  <c r="AA26" i="335"/>
  <c r="Z26" i="335"/>
  <c r="X26" i="335"/>
  <c r="W26" i="335"/>
  <c r="V26" i="335"/>
  <c r="U26" i="335"/>
  <c r="L26" i="335" s="1" a="1"/>
  <c r="L26" i="335" s="1"/>
  <c r="Q26" i="335"/>
  <c r="M26" i="335"/>
  <c r="AG26" i="335" s="1"/>
  <c r="BB27" i="335"/>
  <c r="AP25" i="335"/>
  <c r="AA25" i="335"/>
  <c r="Z25" i="335"/>
  <c r="X25" i="335"/>
  <c r="W25" i="335"/>
  <c r="V25" i="335"/>
  <c r="U25" i="335"/>
  <c r="L25" i="335" s="1" a="1"/>
  <c r="L25" i="335" s="1"/>
  <c r="Q25" i="335"/>
  <c r="M25" i="335"/>
  <c r="T25" i="335" s="1"/>
  <c r="BB26" i="335"/>
  <c r="AU26" i="335"/>
  <c r="AV26" i="335" s="1" a="1"/>
  <c r="AV26" i="335" s="1"/>
  <c r="AP24" i="335"/>
  <c r="AA24" i="335"/>
  <c r="Z24" i="335"/>
  <c r="X24" i="335"/>
  <c r="W24" i="335"/>
  <c r="V24" i="335"/>
  <c r="U24" i="335"/>
  <c r="L24" i="335" s="1" a="1"/>
  <c r="L24" i="335" s="1"/>
  <c r="Q24" i="335"/>
  <c r="M24" i="335"/>
  <c r="AD24" i="335" s="1"/>
  <c r="BB25" i="335"/>
  <c r="AU25" i="335"/>
  <c r="AV25" i="335" s="1" a="1"/>
  <c r="AV25" i="335" s="1"/>
  <c r="BB24" i="335"/>
  <c r="AU24" i="335"/>
  <c r="AV24" i="335" s="1" a="1"/>
  <c r="AV24" i="335" s="1"/>
  <c r="AP23" i="335"/>
  <c r="AA23" i="335"/>
  <c r="Z23" i="335"/>
  <c r="X23" i="335"/>
  <c r="W23" i="335"/>
  <c r="V23" i="335"/>
  <c r="U23" i="335"/>
  <c r="L23" i="335" s="1" a="1"/>
  <c r="L23" i="335" s="1"/>
  <c r="Q23" i="335"/>
  <c r="M23" i="335"/>
  <c r="T23" i="335" s="1"/>
  <c r="BB23" i="335"/>
  <c r="AU23" i="335"/>
  <c r="AV23" i="335" s="1" a="1"/>
  <c r="AV23" i="335" s="1"/>
  <c r="AP22" i="335"/>
  <c r="AA22" i="335"/>
  <c r="Z22" i="335"/>
  <c r="X22" i="335"/>
  <c r="W22" i="335"/>
  <c r="V22" i="335"/>
  <c r="U22" i="335"/>
  <c r="L22" i="335" s="1" a="1"/>
  <c r="L22" i="335" s="1"/>
  <c r="Q22" i="335"/>
  <c r="M22" i="335"/>
  <c r="T22" i="335" s="1"/>
  <c r="BB22" i="335"/>
  <c r="AU22" i="335"/>
  <c r="AV22" i="335" s="1" a="1"/>
  <c r="AV22" i="335" s="1"/>
  <c r="AP21" i="335"/>
  <c r="AA21" i="335"/>
  <c r="Z21" i="335"/>
  <c r="X21" i="335"/>
  <c r="W21" i="335"/>
  <c r="V21" i="335"/>
  <c r="U21" i="335"/>
  <c r="L21" i="335" s="1" a="1"/>
  <c r="L21" i="335" s="1"/>
  <c r="Q21" i="335"/>
  <c r="M21" i="335"/>
  <c r="AD21" i="335" s="1"/>
  <c r="BB21" i="335"/>
  <c r="AU21" i="335"/>
  <c r="AV21" i="335" s="1" a="1"/>
  <c r="AV21" i="335" s="1"/>
  <c r="AP20" i="335"/>
  <c r="AA20" i="335"/>
  <c r="Z20" i="335"/>
  <c r="X20" i="335"/>
  <c r="W20" i="335"/>
  <c r="V20" i="335"/>
  <c r="U20" i="335"/>
  <c r="L20" i="335" s="1" a="1"/>
  <c r="L20" i="335" s="1"/>
  <c r="M20" i="335"/>
  <c r="AD20" i="335" s="1"/>
  <c r="BB20" i="335"/>
  <c r="AU20" i="335"/>
  <c r="AV20" i="335" s="1" a="1"/>
  <c r="AV20" i="335" s="1"/>
  <c r="AP19" i="335"/>
  <c r="AJ19" i="335"/>
  <c r="AE19" i="335"/>
  <c r="AA19" i="335"/>
  <c r="Z19" i="335"/>
  <c r="X19" i="335"/>
  <c r="W19" i="335"/>
  <c r="V19" i="335"/>
  <c r="U19" i="335"/>
  <c r="L19" i="335" s="1" a="1"/>
  <c r="L19" i="335" s="1"/>
  <c r="M19" i="335"/>
  <c r="T19" i="335" s="1"/>
  <c r="BB19" i="335"/>
  <c r="AU19" i="335"/>
  <c r="AV19" i="335" s="1" a="1"/>
  <c r="AV19" i="335" s="1"/>
  <c r="AP18" i="335"/>
  <c r="AJ18" i="335"/>
  <c r="AE18" i="335"/>
  <c r="AA18" i="335"/>
  <c r="Z18" i="335"/>
  <c r="X18" i="335"/>
  <c r="W18" i="335"/>
  <c r="V18" i="335"/>
  <c r="U18" i="335"/>
  <c r="L18" i="335" s="1" a="1"/>
  <c r="L18" i="335" s="1"/>
  <c r="M18" i="335"/>
  <c r="AD18" i="335" s="1"/>
  <c r="BB18" i="335"/>
  <c r="AU18" i="335"/>
  <c r="AV18" i="335" s="1" a="1"/>
  <c r="AV18" i="335" s="1"/>
  <c r="BB17" i="335"/>
  <c r="AU17" i="335"/>
  <c r="AV17" i="335" s="1" a="1"/>
  <c r="AV17" i="335" s="1"/>
  <c r="BB16" i="335"/>
  <c r="AU16" i="335"/>
  <c r="AV16" i="335" s="1" a="1"/>
  <c r="AV16" i="335" s="1"/>
  <c r="AP17" i="335"/>
  <c r="AJ17" i="335"/>
  <c r="AE17" i="335"/>
  <c r="AA17" i="335"/>
  <c r="Z17" i="335"/>
  <c r="X17" i="335"/>
  <c r="W17" i="335"/>
  <c r="V17" i="335"/>
  <c r="U17" i="335"/>
  <c r="L17" i="335" s="1" a="1"/>
  <c r="L17" i="335" s="1"/>
  <c r="M17" i="335"/>
  <c r="AG17" i="335" s="1"/>
  <c r="BB15" i="335"/>
  <c r="AU15" i="335"/>
  <c r="AV15" i="335" s="1" a="1"/>
  <c r="AV15" i="335" s="1"/>
  <c r="AP16" i="335"/>
  <c r="AA16" i="335"/>
  <c r="Z16" i="335"/>
  <c r="X16" i="335"/>
  <c r="W16" i="335"/>
  <c r="V16" i="335"/>
  <c r="U16" i="335"/>
  <c r="L16" i="335" s="1" a="1"/>
  <c r="L16" i="335" s="1"/>
  <c r="Q16" i="335"/>
  <c r="M16" i="335"/>
  <c r="AD16" i="335" s="1"/>
  <c r="BB14" i="335"/>
  <c r="AU14" i="335"/>
  <c r="AV14" i="335" s="1" a="1"/>
  <c r="AV14" i="335" s="1"/>
  <c r="AP15" i="335"/>
  <c r="AJ15" i="335"/>
  <c r="AE15" i="335"/>
  <c r="AA15" i="335"/>
  <c r="Z15" i="335"/>
  <c r="X15" i="335"/>
  <c r="W15" i="335"/>
  <c r="V15" i="335"/>
  <c r="U15" i="335"/>
  <c r="L15" i="335" s="1" a="1"/>
  <c r="L15" i="335" s="1"/>
  <c r="Q15" i="335"/>
  <c r="M15" i="335"/>
  <c r="AG15" i="335" s="1"/>
  <c r="AP14" i="335"/>
  <c r="AJ14" i="335"/>
  <c r="AE14" i="335"/>
  <c r="AA14" i="335"/>
  <c r="Z14" i="335"/>
  <c r="X14" i="335"/>
  <c r="W14" i="335"/>
  <c r="V14" i="335"/>
  <c r="U14" i="335"/>
  <c r="L14" i="335" s="1" a="1"/>
  <c r="L14" i="335" s="1"/>
  <c r="Q14" i="335"/>
  <c r="M14" i="335"/>
  <c r="AP13" i="335"/>
  <c r="AJ13" i="335"/>
  <c r="AE13" i="335"/>
  <c r="AA13" i="335"/>
  <c r="Z13" i="335"/>
  <c r="X13" i="335"/>
  <c r="W13" i="335"/>
  <c r="V13" i="335"/>
  <c r="U13" i="335"/>
  <c r="L13" i="335" s="1" a="1"/>
  <c r="L13" i="335" s="1"/>
  <c r="Q13" i="335"/>
  <c r="M13" i="335"/>
  <c r="AD13" i="335" s="1"/>
  <c r="AP12" i="335"/>
  <c r="AJ12" i="335"/>
  <c r="AE12" i="335"/>
  <c r="AA12" i="335"/>
  <c r="Z12" i="335"/>
  <c r="X12" i="335"/>
  <c r="W12" i="335"/>
  <c r="V12" i="335"/>
  <c r="U12" i="335"/>
  <c r="L12" i="335" s="1" a="1"/>
  <c r="L12" i="335" s="1"/>
  <c r="Q12" i="335"/>
  <c r="M12" i="335"/>
  <c r="BB10" i="335"/>
  <c r="AY10" i="335"/>
  <c r="AU10" i="335"/>
  <c r="AV10" i="335" s="1" a="1"/>
  <c r="AV10" i="335" s="1"/>
  <c r="AP11" i="335"/>
  <c r="AJ11" i="335"/>
  <c r="AE11" i="335"/>
  <c r="AA11" i="335"/>
  <c r="Z11" i="335"/>
  <c r="X11" i="335"/>
  <c r="W11" i="335"/>
  <c r="V11" i="335"/>
  <c r="U11" i="335"/>
  <c r="L11" i="335" s="1" a="1"/>
  <c r="L11" i="335" s="1"/>
  <c r="Q11" i="335"/>
  <c r="M11" i="335"/>
  <c r="AD11" i="335" s="1"/>
  <c r="BB9" i="335"/>
  <c r="AP10" i="335"/>
  <c r="AJ10" i="335"/>
  <c r="AE10" i="335"/>
  <c r="AA10" i="335"/>
  <c r="Z10" i="335"/>
  <c r="X10" i="335"/>
  <c r="W10" i="335"/>
  <c r="X92" i="335" s="1"/>
  <c r="V10" i="335"/>
  <c r="U10" i="335"/>
  <c r="L10" i="335" s="1" a="1"/>
  <c r="L10" i="335" s="1"/>
  <c r="Q10" i="335"/>
  <c r="M10" i="335"/>
  <c r="AD10" i="335" s="1"/>
  <c r="K10" i="335"/>
  <c r="K11" i="335" s="1"/>
  <c r="K12" i="335" s="1"/>
  <c r="K13" i="335" s="1"/>
  <c r="K14" i="335" s="1"/>
  <c r="K15" i="335" s="1"/>
  <c r="K16" i="335" s="1"/>
  <c r="K17" i="335" s="1"/>
  <c r="L5" i="335"/>
  <c r="B2" i="335"/>
  <c r="AU11" i="326"/>
  <c r="AV11" i="326" s="1" a="1"/>
  <c r="AV11" i="326" s="1"/>
  <c r="AU26" i="326"/>
  <c r="AV26" i="326" s="1" a="1"/>
  <c r="AV26" i="326" s="1"/>
  <c r="AU25" i="326"/>
  <c r="AV25" i="326" s="1" a="1"/>
  <c r="AV25" i="326" s="1"/>
  <c r="AU24" i="326"/>
  <c r="AV24" i="326" s="1" a="1"/>
  <c r="AV24" i="326" s="1"/>
  <c r="AU23" i="326"/>
  <c r="AV23" i="326" s="1" a="1"/>
  <c r="AV23" i="326" s="1"/>
  <c r="AU22" i="326"/>
  <c r="AV22" i="326" s="1" a="1"/>
  <c r="AV22" i="326" s="1"/>
  <c r="AU21" i="326"/>
  <c r="AV21" i="326" s="1" a="1"/>
  <c r="AV21" i="326" s="1"/>
  <c r="AU20" i="326"/>
  <c r="AV20" i="326" s="1" a="1"/>
  <c r="AV20" i="326" s="1"/>
  <c r="AU19" i="326"/>
  <c r="AV19" i="326" s="1" a="1"/>
  <c r="AV19" i="326" s="1"/>
  <c r="AU18" i="326"/>
  <c r="AV18" i="326" s="1" a="1"/>
  <c r="AV18" i="326" s="1"/>
  <c r="AU17" i="326"/>
  <c r="AV17" i="326" s="1" a="1"/>
  <c r="AV17" i="326" s="1"/>
  <c r="AU16" i="326"/>
  <c r="AV16" i="326" s="1" a="1"/>
  <c r="AV16" i="326" s="1"/>
  <c r="AU15" i="326"/>
  <c r="AV15" i="326" s="1" a="1"/>
  <c r="AV15" i="326" s="1"/>
  <c r="AU27" i="326"/>
  <c r="AV27" i="326" s="1" a="1"/>
  <c r="AV27" i="326" s="1"/>
  <c r="T35" i="326"/>
  <c r="T36" i="326"/>
  <c r="T37" i="326"/>
  <c r="T38" i="326"/>
  <c r="T39" i="326"/>
  <c r="T40" i="326"/>
  <c r="T41" i="326"/>
  <c r="T42" i="326"/>
  <c r="T43" i="326"/>
  <c r="T44" i="326"/>
  <c r="T45" i="326"/>
  <c r="T46" i="326"/>
  <c r="T47" i="326"/>
  <c r="T48" i="326"/>
  <c r="T49" i="326"/>
  <c r="C228" i="333"/>
  <c r="B228" i="333"/>
  <c r="C227" i="333"/>
  <c r="B227" i="333"/>
  <c r="C226" i="333"/>
  <c r="B226" i="333"/>
  <c r="C225" i="333"/>
  <c r="B225" i="333"/>
  <c r="C224" i="333"/>
  <c r="B224" i="333"/>
  <c r="C223" i="333"/>
  <c r="B223" i="333"/>
  <c r="C222" i="333"/>
  <c r="B222" i="333"/>
  <c r="C221" i="333"/>
  <c r="B221" i="333"/>
  <c r="C220" i="333"/>
  <c r="B220" i="333"/>
  <c r="C219" i="333"/>
  <c r="B219" i="333"/>
  <c r="C218" i="333"/>
  <c r="B218" i="333"/>
  <c r="C217" i="333"/>
  <c r="B217" i="333"/>
  <c r="C216" i="333"/>
  <c r="B216" i="333"/>
  <c r="C215" i="333"/>
  <c r="B215" i="333"/>
  <c r="C214" i="333"/>
  <c r="B214" i="333"/>
  <c r="C213" i="333"/>
  <c r="B213" i="333"/>
  <c r="C212" i="333"/>
  <c r="B212" i="333"/>
  <c r="C211" i="333"/>
  <c r="B211" i="333"/>
  <c r="C210" i="333"/>
  <c r="B210" i="333"/>
  <c r="C209" i="333"/>
  <c r="B209" i="333"/>
  <c r="C208" i="333"/>
  <c r="B208" i="333"/>
  <c r="C207" i="333"/>
  <c r="B207" i="333"/>
  <c r="C206" i="333"/>
  <c r="B206" i="333"/>
  <c r="C205" i="333"/>
  <c r="B205" i="333"/>
  <c r="C204" i="333"/>
  <c r="B204" i="333"/>
  <c r="C203" i="333"/>
  <c r="B203" i="333"/>
  <c r="C202" i="333"/>
  <c r="B202" i="333"/>
  <c r="C201" i="333"/>
  <c r="B201" i="333"/>
  <c r="C200" i="333"/>
  <c r="B200" i="333"/>
  <c r="C199" i="333"/>
  <c r="B199" i="333"/>
  <c r="C198" i="333"/>
  <c r="B198" i="333"/>
  <c r="C197" i="333"/>
  <c r="B197" i="333"/>
  <c r="C196" i="333"/>
  <c r="B196" i="333"/>
  <c r="C195" i="333"/>
  <c r="B195" i="333"/>
  <c r="C194" i="333"/>
  <c r="B194" i="333"/>
  <c r="C193" i="333"/>
  <c r="B193" i="333"/>
  <c r="C192" i="333"/>
  <c r="B192" i="333"/>
  <c r="C191" i="333"/>
  <c r="B191" i="333"/>
  <c r="C190" i="333"/>
  <c r="B190" i="333"/>
  <c r="C189" i="333"/>
  <c r="B189" i="333"/>
  <c r="C188" i="333"/>
  <c r="B188" i="333"/>
  <c r="C187" i="333"/>
  <c r="B187" i="333"/>
  <c r="C186" i="333"/>
  <c r="B186" i="333"/>
  <c r="C185" i="333"/>
  <c r="B185" i="333"/>
  <c r="C184" i="333"/>
  <c r="B184" i="333"/>
  <c r="C183" i="333"/>
  <c r="B183" i="333"/>
  <c r="C182" i="333"/>
  <c r="B182" i="333"/>
  <c r="C181" i="333"/>
  <c r="B181" i="333"/>
  <c r="C180" i="333"/>
  <c r="B180" i="333"/>
  <c r="C179" i="333"/>
  <c r="B179" i="333"/>
  <c r="C178" i="333"/>
  <c r="B178" i="333"/>
  <c r="C177" i="333"/>
  <c r="B177" i="333"/>
  <c r="C176" i="333"/>
  <c r="B176" i="333"/>
  <c r="C175" i="333"/>
  <c r="B175" i="333"/>
  <c r="C174" i="333"/>
  <c r="B174" i="333"/>
  <c r="C173" i="333"/>
  <c r="B173" i="333"/>
  <c r="C172" i="333"/>
  <c r="B172" i="333"/>
  <c r="C171" i="333"/>
  <c r="B171" i="333"/>
  <c r="C170" i="333"/>
  <c r="B170" i="333"/>
  <c r="C169" i="333"/>
  <c r="B169" i="333"/>
  <c r="C168" i="333"/>
  <c r="B168" i="333"/>
  <c r="C167" i="333"/>
  <c r="B167" i="333"/>
  <c r="C166" i="333"/>
  <c r="B166" i="333"/>
  <c r="C165" i="333"/>
  <c r="B165" i="333"/>
  <c r="C164" i="333"/>
  <c r="B164" i="333"/>
  <c r="C163" i="333"/>
  <c r="B163" i="333"/>
  <c r="C162" i="333"/>
  <c r="B162" i="333"/>
  <c r="C161" i="333"/>
  <c r="B161" i="333"/>
  <c r="C160" i="333"/>
  <c r="B160" i="333"/>
  <c r="C159" i="333"/>
  <c r="B159" i="333"/>
  <c r="C158" i="333"/>
  <c r="B158" i="333"/>
  <c r="C157" i="333"/>
  <c r="B157" i="333"/>
  <c r="C156" i="333"/>
  <c r="B156" i="333"/>
  <c r="C155" i="333"/>
  <c r="B155" i="333"/>
  <c r="C154" i="333"/>
  <c r="B154" i="333"/>
  <c r="C153" i="333"/>
  <c r="B153" i="333"/>
  <c r="C152" i="333"/>
  <c r="B152" i="333"/>
  <c r="C151" i="333"/>
  <c r="B151" i="333"/>
  <c r="C150" i="333"/>
  <c r="B150" i="333"/>
  <c r="C149" i="333"/>
  <c r="B149" i="333"/>
  <c r="C148" i="333"/>
  <c r="B148" i="333"/>
  <c r="C147" i="333"/>
  <c r="B147" i="333"/>
  <c r="C146" i="333"/>
  <c r="B146" i="333"/>
  <c r="C145" i="333"/>
  <c r="B145" i="333"/>
  <c r="C144" i="333"/>
  <c r="B144" i="333"/>
  <c r="C143" i="333"/>
  <c r="B143" i="333"/>
  <c r="C142" i="333"/>
  <c r="B142" i="333"/>
  <c r="C141" i="333"/>
  <c r="B141" i="333"/>
  <c r="C140" i="333"/>
  <c r="B140" i="333"/>
  <c r="C139" i="333"/>
  <c r="B139" i="333"/>
  <c r="C138" i="333"/>
  <c r="B138" i="333"/>
  <c r="C137" i="333"/>
  <c r="B137" i="333"/>
  <c r="C136" i="333"/>
  <c r="B136" i="333"/>
  <c r="C135" i="333"/>
  <c r="B135" i="333"/>
  <c r="C134" i="333"/>
  <c r="B134" i="333"/>
  <c r="C133" i="333"/>
  <c r="B133" i="333"/>
  <c r="C132" i="333"/>
  <c r="B132" i="333"/>
  <c r="C131" i="333"/>
  <c r="B131" i="333"/>
  <c r="C130" i="333"/>
  <c r="B130" i="333"/>
  <c r="C129" i="333"/>
  <c r="B129" i="333"/>
  <c r="C128" i="333"/>
  <c r="B128" i="333"/>
  <c r="C127" i="333"/>
  <c r="B127" i="333"/>
  <c r="C126" i="333"/>
  <c r="B126" i="333"/>
  <c r="C125" i="333"/>
  <c r="B125" i="333"/>
  <c r="C124" i="333"/>
  <c r="B124" i="333"/>
  <c r="C123" i="333"/>
  <c r="B123" i="333"/>
  <c r="C122" i="333"/>
  <c r="B122" i="333"/>
  <c r="C121" i="333"/>
  <c r="B121" i="333"/>
  <c r="C120" i="333"/>
  <c r="B120" i="333"/>
  <c r="C119" i="333"/>
  <c r="B119" i="333"/>
  <c r="C118" i="333"/>
  <c r="B118" i="333"/>
  <c r="C117" i="333"/>
  <c r="B117" i="333"/>
  <c r="C116" i="333"/>
  <c r="B116" i="333"/>
  <c r="C115" i="333"/>
  <c r="B115" i="333"/>
  <c r="C114" i="333"/>
  <c r="B114" i="333"/>
  <c r="C113" i="333"/>
  <c r="B113" i="333"/>
  <c r="C112" i="333"/>
  <c r="B112" i="333"/>
  <c r="C111" i="333"/>
  <c r="B111" i="333"/>
  <c r="C110" i="333"/>
  <c r="B110" i="333"/>
  <c r="C109" i="333"/>
  <c r="B109" i="333"/>
  <c r="C108" i="333"/>
  <c r="B108" i="333"/>
  <c r="C107" i="333"/>
  <c r="B107" i="333"/>
  <c r="C106" i="333"/>
  <c r="B106" i="333"/>
  <c r="C105" i="333"/>
  <c r="B105" i="333"/>
  <c r="C104" i="333"/>
  <c r="B104" i="333"/>
  <c r="C103" i="333"/>
  <c r="B103" i="333"/>
  <c r="C102" i="333"/>
  <c r="B102" i="333"/>
  <c r="C101" i="333"/>
  <c r="B101" i="333"/>
  <c r="C100" i="333"/>
  <c r="B100" i="333"/>
  <c r="C99" i="333"/>
  <c r="B99" i="333"/>
  <c r="C98" i="333"/>
  <c r="B98" i="333"/>
  <c r="C96" i="333"/>
  <c r="B96" i="333"/>
  <c r="C95" i="333"/>
  <c r="B95" i="333"/>
  <c r="C94" i="333"/>
  <c r="B94" i="333"/>
  <c r="C93" i="333"/>
  <c r="B93" i="333"/>
  <c r="C92" i="333"/>
  <c r="B92" i="333"/>
  <c r="C91" i="333"/>
  <c r="B91" i="333"/>
  <c r="C90" i="333"/>
  <c r="B90" i="333"/>
  <c r="C89" i="333"/>
  <c r="B89" i="333"/>
  <c r="C88" i="333"/>
  <c r="B88" i="333"/>
  <c r="C87" i="333"/>
  <c r="B87" i="333"/>
  <c r="C86" i="333"/>
  <c r="B86" i="333"/>
  <c r="C85" i="333"/>
  <c r="B85" i="333"/>
  <c r="C84" i="333"/>
  <c r="B84" i="333"/>
  <c r="C83" i="333"/>
  <c r="B83" i="333"/>
  <c r="C82" i="333"/>
  <c r="B82" i="333"/>
  <c r="C81" i="333"/>
  <c r="B81" i="333"/>
  <c r="C80" i="333"/>
  <c r="B80" i="333"/>
  <c r="C79" i="333"/>
  <c r="B79" i="333"/>
  <c r="C78" i="333"/>
  <c r="B78" i="333"/>
  <c r="C77" i="333"/>
  <c r="B77" i="333"/>
  <c r="C76" i="333"/>
  <c r="B76" i="333"/>
  <c r="C75" i="333"/>
  <c r="B75" i="333"/>
  <c r="C74" i="333"/>
  <c r="B74" i="333"/>
  <c r="C73" i="333"/>
  <c r="B73" i="333"/>
  <c r="C72" i="333"/>
  <c r="B72" i="333"/>
  <c r="C71" i="333"/>
  <c r="B71" i="333"/>
  <c r="C70" i="333"/>
  <c r="B70" i="333"/>
  <c r="C69" i="333"/>
  <c r="B69" i="333"/>
  <c r="C68" i="333"/>
  <c r="B68" i="333"/>
  <c r="C67" i="333"/>
  <c r="B67" i="333"/>
  <c r="C66" i="333"/>
  <c r="B66" i="333"/>
  <c r="C65" i="333"/>
  <c r="B65" i="333"/>
  <c r="C64" i="333"/>
  <c r="B64" i="333"/>
  <c r="C63" i="333"/>
  <c r="B63" i="333"/>
  <c r="C62" i="333"/>
  <c r="B62" i="333"/>
  <c r="C61" i="333"/>
  <c r="B61" i="333"/>
  <c r="C60" i="333"/>
  <c r="B60" i="333"/>
  <c r="C59" i="333"/>
  <c r="B59" i="333"/>
  <c r="C58" i="333"/>
  <c r="B58" i="333"/>
  <c r="C57" i="333"/>
  <c r="B57" i="333"/>
  <c r="C56" i="333"/>
  <c r="B56" i="333"/>
  <c r="C55" i="333"/>
  <c r="B55" i="333"/>
  <c r="C54" i="333"/>
  <c r="B54" i="333"/>
  <c r="C53" i="333"/>
  <c r="B53" i="333"/>
  <c r="C52" i="333"/>
  <c r="B52" i="333"/>
  <c r="C51" i="333"/>
  <c r="B51" i="333"/>
  <c r="C50" i="333"/>
  <c r="B50" i="333"/>
  <c r="C49" i="333"/>
  <c r="B49" i="333"/>
  <c r="C48" i="333"/>
  <c r="B48" i="333"/>
  <c r="C47" i="333"/>
  <c r="B47" i="333"/>
  <c r="C46" i="333"/>
  <c r="B46" i="333"/>
  <c r="C45" i="333"/>
  <c r="B45" i="333"/>
  <c r="C44" i="333"/>
  <c r="B44" i="333"/>
  <c r="C43" i="333"/>
  <c r="B43" i="333"/>
  <c r="C42" i="333"/>
  <c r="B42" i="333"/>
  <c r="C41" i="333"/>
  <c r="B41" i="333"/>
  <c r="C40" i="333"/>
  <c r="B40" i="333"/>
  <c r="C39" i="333"/>
  <c r="B39" i="333"/>
  <c r="C38" i="333"/>
  <c r="B38" i="333"/>
  <c r="C37" i="333"/>
  <c r="B37" i="333"/>
  <c r="C36" i="333"/>
  <c r="B36" i="333"/>
  <c r="C35" i="333"/>
  <c r="B35" i="333"/>
  <c r="C34" i="333"/>
  <c r="B34" i="333"/>
  <c r="C33" i="333"/>
  <c r="B33" i="333"/>
  <c r="C32" i="333"/>
  <c r="B32" i="333"/>
  <c r="C31" i="333"/>
  <c r="B31" i="333"/>
  <c r="C30" i="333"/>
  <c r="B30" i="333"/>
  <c r="C29" i="333"/>
  <c r="B29" i="333"/>
  <c r="C28" i="333"/>
  <c r="B28" i="333"/>
  <c r="C27" i="333"/>
  <c r="B27" i="333"/>
  <c r="C26" i="333"/>
  <c r="B26" i="333"/>
  <c r="C25" i="333"/>
  <c r="B25" i="333"/>
  <c r="C24" i="333"/>
  <c r="B24" i="333"/>
  <c r="C23" i="333"/>
  <c r="B23" i="333"/>
  <c r="C22" i="333"/>
  <c r="B22" i="333"/>
  <c r="C21" i="333"/>
  <c r="B21" i="333"/>
  <c r="C20" i="333"/>
  <c r="B20" i="333"/>
  <c r="C19" i="333"/>
  <c r="B19" i="333"/>
  <c r="C18" i="333"/>
  <c r="B18" i="333"/>
  <c r="C17" i="333"/>
  <c r="B17" i="333"/>
  <c r="C16" i="333"/>
  <c r="B16" i="333"/>
  <c r="C15" i="333"/>
  <c r="B15" i="333"/>
  <c r="C14" i="333"/>
  <c r="B14" i="333"/>
  <c r="C13" i="333"/>
  <c r="B13" i="333"/>
  <c r="C12" i="333"/>
  <c r="B12" i="333"/>
  <c r="C11" i="333"/>
  <c r="B11" i="333"/>
  <c r="C10" i="333"/>
  <c r="B10" i="333"/>
  <c r="C9" i="333"/>
  <c r="B9" i="333"/>
  <c r="C7" i="333"/>
  <c r="B7" i="333"/>
  <c r="D81" i="7"/>
  <c r="J81" i="7"/>
  <c r="Y84" i="335" l="1"/>
  <c r="AB84" i="335" s="1"/>
  <c r="AI84" i="335" s="1"/>
  <c r="O84" i="335"/>
  <c r="AV31" i="335"/>
  <c r="X93" i="335"/>
  <c r="X94" i="335" s="1"/>
  <c r="K18" i="335"/>
  <c r="K19" i="335" s="1"/>
  <c r="K20" i="335" s="1"/>
  <c r="K21" i="335" s="1"/>
  <c r="K22" i="335" s="1"/>
  <c r="K23" i="335" s="1"/>
  <c r="Q17" i="335"/>
  <c r="AD23" i="335"/>
  <c r="AG23" i="335"/>
  <c r="AG25" i="335"/>
  <c r="AG69" i="335"/>
  <c r="R69" i="335" s="1"/>
  <c r="AG75" i="335"/>
  <c r="R75" i="335" s="1"/>
  <c r="T78" i="335"/>
  <c r="AD22" i="335"/>
  <c r="AG22" i="335"/>
  <c r="AD71" i="335"/>
  <c r="BC10" i="335"/>
  <c r="AD50" i="335"/>
  <c r="AD69" i="335"/>
  <c r="AG19" i="335"/>
  <c r="R19" i="335" s="1"/>
  <c r="AG80" i="335"/>
  <c r="R80" i="335" s="1"/>
  <c r="T56" i="335"/>
  <c r="T20" i="335"/>
  <c r="AG11" i="335"/>
  <c r="AH11" i="335" s="1"/>
  <c r="AH15" i="335"/>
  <c r="AD19" i="335"/>
  <c r="T41" i="335"/>
  <c r="AG51" i="335"/>
  <c r="AG49" i="335"/>
  <c r="R49" i="335" s="1"/>
  <c r="T68" i="335"/>
  <c r="T57" i="335"/>
  <c r="AG42" i="335"/>
  <c r="T51" i="335"/>
  <c r="AG58" i="335"/>
  <c r="AG63" i="335"/>
  <c r="R63" i="335" s="1"/>
  <c r="AG68" i="335"/>
  <c r="S12" i="335"/>
  <c r="T50" i="335"/>
  <c r="AD32" i="335"/>
  <c r="AD41" i="335"/>
  <c r="AG57" i="335"/>
  <c r="S70" i="335"/>
  <c r="O70" i="335" s="1"/>
  <c r="AD78" i="335"/>
  <c r="T11" i="335"/>
  <c r="T71" i="335"/>
  <c r="AH34" i="335"/>
  <c r="AG40" i="335"/>
  <c r="AG56" i="335"/>
  <c r="AD72" i="335"/>
  <c r="AD58" i="335"/>
  <c r="AG74" i="335"/>
  <c r="R74" i="335" s="1"/>
  <c r="AG27" i="335"/>
  <c r="S49" i="335"/>
  <c r="AD25" i="335"/>
  <c r="AG72" i="335"/>
  <c r="T35" i="335"/>
  <c r="S16" i="335"/>
  <c r="O16" i="335" s="1"/>
  <c r="AL16" i="335" s="1"/>
  <c r="R34" i="335"/>
  <c r="T13" i="335"/>
  <c r="T27" i="335"/>
  <c r="AD36" i="335"/>
  <c r="AD15" i="335"/>
  <c r="AG37" i="335"/>
  <c r="AD38" i="335"/>
  <c r="S42" i="335"/>
  <c r="O42" i="335" s="1"/>
  <c r="T52" i="335"/>
  <c r="T73" i="335"/>
  <c r="AG39" i="335"/>
  <c r="AD46" i="335"/>
  <c r="S62" i="335"/>
  <c r="O62" i="335" s="1"/>
  <c r="AG35" i="335"/>
  <c r="AG36" i="335"/>
  <c r="R36" i="335" s="1"/>
  <c r="AG38" i="335"/>
  <c r="T42" i="335"/>
  <c r="AD45" i="335"/>
  <c r="AD54" i="335"/>
  <c r="S63" i="335"/>
  <c r="O63" i="335" s="1"/>
  <c r="AH54" i="335"/>
  <c r="AD62" i="335"/>
  <c r="AD83" i="335"/>
  <c r="S66" i="335"/>
  <c r="T15" i="335"/>
  <c r="T83" i="335"/>
  <c r="T54" i="335"/>
  <c r="T16" i="335"/>
  <c r="T34" i="335"/>
  <c r="T62" i="335"/>
  <c r="T84" i="335"/>
  <c r="AG13" i="335"/>
  <c r="AD74" i="335"/>
  <c r="AD75" i="335"/>
  <c r="AC84" i="335"/>
  <c r="T39" i="335"/>
  <c r="R15" i="335"/>
  <c r="T37" i="335"/>
  <c r="S83" i="335"/>
  <c r="O83" i="335" s="1"/>
  <c r="T53" i="335"/>
  <c r="T63" i="335"/>
  <c r="T40" i="335"/>
  <c r="AD43" i="335"/>
  <c r="AD80" i="335"/>
  <c r="AD84" i="335"/>
  <c r="T77" i="335"/>
  <c r="S77" i="335"/>
  <c r="O77" i="335" s="1"/>
  <c r="AG77" i="335"/>
  <c r="AD77" i="335"/>
  <c r="S44" i="335"/>
  <c r="O44" i="335" s="1"/>
  <c r="T44" i="335"/>
  <c r="AD44" i="335"/>
  <c r="S60" i="335"/>
  <c r="O60" i="335" s="1"/>
  <c r="T60" i="335"/>
  <c r="AD60" i="335"/>
  <c r="AH17" i="335"/>
  <c r="R17" i="335"/>
  <c r="AG28" i="335"/>
  <c r="T28" i="335"/>
  <c r="S28" i="335"/>
  <c r="O28" i="335" s="1"/>
  <c r="AD28" i="335"/>
  <c r="AH53" i="335"/>
  <c r="R53" i="335"/>
  <c r="S57" i="335"/>
  <c r="O57" i="335" s="1"/>
  <c r="S80" i="335"/>
  <c r="O80" i="335" s="1"/>
  <c r="T14" i="335"/>
  <c r="S14" i="335"/>
  <c r="O14" i="335" s="1"/>
  <c r="S15" i="335"/>
  <c r="O15" i="335" s="1"/>
  <c r="AD14" i="335"/>
  <c r="S52" i="335"/>
  <c r="O52" i="335" s="1"/>
  <c r="AG14" i="335"/>
  <c r="S38" i="335"/>
  <c r="O38" i="335" s="1"/>
  <c r="AG44" i="335"/>
  <c r="S55" i="335"/>
  <c r="O55" i="335" s="1"/>
  <c r="AG76" i="335"/>
  <c r="S76" i="335"/>
  <c r="O76" i="335" s="1"/>
  <c r="AD76" i="335"/>
  <c r="AG30" i="335"/>
  <c r="T30" i="335"/>
  <c r="S30" i="335"/>
  <c r="O30" i="335" s="1"/>
  <c r="AD30" i="335"/>
  <c r="AG70" i="335"/>
  <c r="AD70" i="335"/>
  <c r="AD48" i="335"/>
  <c r="T48" i="335"/>
  <c r="S48" i="335"/>
  <c r="O48" i="335" s="1"/>
  <c r="AG48" i="335"/>
  <c r="R61" i="335"/>
  <c r="AH61" i="335"/>
  <c r="S50" i="335"/>
  <c r="O50" i="335" s="1"/>
  <c r="T66" i="335"/>
  <c r="AG66" i="335"/>
  <c r="AD66" i="335"/>
  <c r="AD79" i="335"/>
  <c r="S79" i="335"/>
  <c r="O79" i="335" s="1"/>
  <c r="AG79" i="335"/>
  <c r="T79" i="335"/>
  <c r="S61" i="335"/>
  <c r="O61" i="335" s="1"/>
  <c r="AD61" i="335"/>
  <c r="T61" i="335"/>
  <c r="T55" i="335"/>
  <c r="AD55" i="335"/>
  <c r="S74" i="335"/>
  <c r="O74" i="335" s="1"/>
  <c r="S13" i="335"/>
  <c r="O13" i="335" s="1"/>
  <c r="S45" i="335"/>
  <c r="O45" i="335" s="1"/>
  <c r="T46" i="335"/>
  <c r="S46" i="335"/>
  <c r="O46" i="335" s="1"/>
  <c r="S23" i="335"/>
  <c r="O23" i="335" s="1"/>
  <c r="T33" i="335"/>
  <c r="AD33" i="335"/>
  <c r="AG33" i="335"/>
  <c r="S37" i="335"/>
  <c r="O37" i="335" s="1"/>
  <c r="S75" i="335"/>
  <c r="O75" i="335" s="1"/>
  <c r="S69" i="335"/>
  <c r="O69" i="335" s="1"/>
  <c r="S41" i="335"/>
  <c r="O41" i="335" s="1"/>
  <c r="T10" i="335"/>
  <c r="S35" i="335"/>
  <c r="O35" i="335" s="1"/>
  <c r="S10" i="335"/>
  <c r="O10" i="335" s="1"/>
  <c r="S71" i="335"/>
  <c r="O71" i="335" s="1"/>
  <c r="S68" i="335"/>
  <c r="O68" i="335" s="1"/>
  <c r="S19" i="335"/>
  <c r="O19" i="335" s="1"/>
  <c r="AG10" i="335"/>
  <c r="S58" i="335"/>
  <c r="O58" i="335" s="1"/>
  <c r="S27" i="335"/>
  <c r="O27" i="335" s="1"/>
  <c r="S78" i="335"/>
  <c r="O78" i="335" s="1"/>
  <c r="S56" i="335"/>
  <c r="O56" i="335" s="1"/>
  <c r="S54" i="335"/>
  <c r="O54" i="335" s="1"/>
  <c r="S39" i="335"/>
  <c r="O39" i="335" s="1"/>
  <c r="S34" i="335"/>
  <c r="O34" i="335" s="1"/>
  <c r="S25" i="335"/>
  <c r="O25" i="335" s="1"/>
  <c r="S11" i="335"/>
  <c r="O11" i="335" s="1"/>
  <c r="S51" i="335"/>
  <c r="O51" i="335" s="1"/>
  <c r="S20" i="335"/>
  <c r="O20" i="335" s="1"/>
  <c r="S36" i="335"/>
  <c r="O36" i="335" s="1"/>
  <c r="S53" i="335"/>
  <c r="O53" i="335" s="1"/>
  <c r="S67" i="335"/>
  <c r="O67" i="335" s="1"/>
  <c r="S17" i="335"/>
  <c r="O17" i="335" s="1"/>
  <c r="AG18" i="335"/>
  <c r="T18" i="335"/>
  <c r="S18" i="335"/>
  <c r="O18" i="335" s="1"/>
  <c r="T32" i="335"/>
  <c r="S32" i="335"/>
  <c r="O32" i="335" s="1"/>
  <c r="S22" i="335"/>
  <c r="O22" i="335" s="1"/>
  <c r="AD26" i="335"/>
  <c r="T26" i="335"/>
  <c r="S26" i="335"/>
  <c r="O26" i="335" s="1"/>
  <c r="S33" i="335"/>
  <c r="O33" i="335" s="1"/>
  <c r="S40" i="335"/>
  <c r="O40" i="335" s="1"/>
  <c r="AD29" i="335"/>
  <c r="AG29" i="335"/>
  <c r="T29" i="335"/>
  <c r="S29" i="335"/>
  <c r="O29" i="335" s="1"/>
  <c r="AP85" i="335"/>
  <c r="AG81" i="335"/>
  <c r="T81" i="335"/>
  <c r="S81" i="335"/>
  <c r="O81" i="335" s="1"/>
  <c r="AD17" i="335"/>
  <c r="T17" i="335"/>
  <c r="AG24" i="335"/>
  <c r="AD12" i="335"/>
  <c r="T12" i="335"/>
  <c r="AG12" i="335"/>
  <c r="AG16" i="335"/>
  <c r="S24" i="335"/>
  <c r="O24" i="335" s="1"/>
  <c r="AD49" i="335"/>
  <c r="S59" i="335"/>
  <c r="O59" i="335" s="1"/>
  <c r="AG59" i="335"/>
  <c r="AD59" i="335"/>
  <c r="AG67" i="335"/>
  <c r="AD67" i="335"/>
  <c r="AG47" i="335"/>
  <c r="T47" i="335"/>
  <c r="S47" i="335"/>
  <c r="O47" i="335" s="1"/>
  <c r="T64" i="335"/>
  <c r="AG64" i="335"/>
  <c r="S64" i="335"/>
  <c r="O64" i="335" s="1"/>
  <c r="T24" i="335"/>
  <c r="T31" i="335"/>
  <c r="S31" i="335"/>
  <c r="O31" i="335" s="1"/>
  <c r="AG31" i="335"/>
  <c r="AD53" i="335"/>
  <c r="Q18" i="335"/>
  <c r="Q19" i="335" s="1"/>
  <c r="Q28" i="335" s="1"/>
  <c r="AG20" i="335"/>
  <c r="AD52" i="335"/>
  <c r="AG65" i="335"/>
  <c r="AD65" i="335"/>
  <c r="S65" i="335"/>
  <c r="O65" i="335" s="1"/>
  <c r="T21" i="335"/>
  <c r="S21" i="335"/>
  <c r="O21" i="335" s="1"/>
  <c r="AG21" i="335"/>
  <c r="S43" i="335"/>
  <c r="O43" i="335" s="1"/>
  <c r="AG45" i="335"/>
  <c r="T82" i="335"/>
  <c r="AG82" i="335"/>
  <c r="S82" i="335"/>
  <c r="O82" i="335" s="1"/>
  <c r="T43" i="335"/>
  <c r="X87" i="335"/>
  <c r="S72" i="335"/>
  <c r="O72" i="335" s="1"/>
  <c r="AD34" i="335"/>
  <c r="S73" i="335"/>
  <c r="O73" i="335" s="1"/>
  <c r="AG73" i="335"/>
  <c r="AG84" i="335"/>
  <c r="AH83" i="335"/>
  <c r="R83" i="335"/>
  <c r="AC12" i="335" l="1"/>
  <c r="AF12" i="335" s="1"/>
  <c r="O12" i="335"/>
  <c r="Y49" i="335"/>
  <c r="AB49" i="335" s="1"/>
  <c r="AI49" i="335" s="1"/>
  <c r="O49" i="335"/>
  <c r="AC66" i="335"/>
  <c r="AF66" i="335" s="1"/>
  <c r="O66" i="335"/>
  <c r="K24" i="335"/>
  <c r="K25" i="335" s="1"/>
  <c r="K26" i="335" s="1"/>
  <c r="K27" i="335" s="1"/>
  <c r="K28" i="335" s="1"/>
  <c r="K29" i="335" s="1"/>
  <c r="K30" i="335" s="1"/>
  <c r="K31" i="335" s="1"/>
  <c r="K32" i="335" s="1"/>
  <c r="K33" i="335" s="1"/>
  <c r="K34" i="335" s="1"/>
  <c r="K35" i="335" s="1"/>
  <c r="K36" i="335" s="1"/>
  <c r="K37" i="335" s="1"/>
  <c r="K38" i="335" s="1"/>
  <c r="K39" i="335" s="1"/>
  <c r="K40" i="335" s="1"/>
  <c r="K41" i="335" s="1"/>
  <c r="K42" i="335" s="1"/>
  <c r="K43" i="335" s="1"/>
  <c r="K44" i="335" s="1"/>
  <c r="K45" i="335" s="1"/>
  <c r="K46" i="335" s="1"/>
  <c r="K47" i="335" s="1"/>
  <c r="K48" i="335" s="1"/>
  <c r="K49" i="335" s="1"/>
  <c r="K50" i="335" s="1"/>
  <c r="K51" i="335" s="1"/>
  <c r="K52" i="335" s="1"/>
  <c r="K53" i="335" s="1"/>
  <c r="K54" i="335" s="1"/>
  <c r="K55" i="335" s="1"/>
  <c r="K56" i="335" s="1"/>
  <c r="K57" i="335" s="1"/>
  <c r="K58" i="335" s="1"/>
  <c r="K59" i="335" s="1"/>
  <c r="K60" i="335" s="1"/>
  <c r="K61" i="335" s="1"/>
  <c r="K62" i="335" s="1"/>
  <c r="K63" i="335" s="1"/>
  <c r="K64" i="335" s="1"/>
  <c r="K65" i="335" s="1"/>
  <c r="K66" i="335" s="1"/>
  <c r="K67" i="335" s="1"/>
  <c r="K68" i="335" s="1"/>
  <c r="K69" i="335" s="1"/>
  <c r="K70" i="335" s="1"/>
  <c r="K71" i="335" s="1"/>
  <c r="K72" i="335" s="1"/>
  <c r="K73" i="335" s="1"/>
  <c r="K74" i="335" s="1"/>
  <c r="K75" i="335" s="1"/>
  <c r="K76" i="335" s="1"/>
  <c r="K77" i="335" s="1"/>
  <c r="K78" i="335" s="1"/>
  <c r="K79" i="335" s="1"/>
  <c r="K80" i="335" s="1"/>
  <c r="K81" i="335" s="1"/>
  <c r="K82" i="335" s="1"/>
  <c r="K83" i="335" s="1"/>
  <c r="K84" i="335" s="1"/>
  <c r="K85" i="335" s="1"/>
  <c r="AH49" i="335"/>
  <c r="AH69" i="335"/>
  <c r="Q20" i="335"/>
  <c r="Q27" i="335" s="1"/>
  <c r="Q29" i="335" s="1"/>
  <c r="AH19" i="335"/>
  <c r="R11" i="335"/>
  <c r="AH75" i="335"/>
  <c r="AH74" i="335"/>
  <c r="AF84" i="335"/>
  <c r="AH80" i="335"/>
  <c r="AH63" i="335"/>
  <c r="Y12" i="335"/>
  <c r="AB12" i="335" s="1"/>
  <c r="AC49" i="335"/>
  <c r="AF49" i="335" s="1"/>
  <c r="AD85" i="335"/>
  <c r="R35" i="335"/>
  <c r="AH35" i="335"/>
  <c r="AC63" i="335"/>
  <c r="AF63" i="335" s="1"/>
  <c r="Y63" i="335"/>
  <c r="AB63" i="335" s="1"/>
  <c r="AI63" i="335" s="1"/>
  <c r="X88" i="335"/>
  <c r="AH13" i="335"/>
  <c r="R13" i="335"/>
  <c r="Y66" i="335"/>
  <c r="AB66" i="335" s="1"/>
  <c r="AI66" i="335" s="1"/>
  <c r="AH36" i="335"/>
  <c r="AC83" i="335"/>
  <c r="AF83" i="335" s="1"/>
  <c r="Y83" i="335"/>
  <c r="AB83" i="335" s="1"/>
  <c r="AI83" i="335" s="1"/>
  <c r="AC35" i="335"/>
  <c r="AF35" i="335" s="1"/>
  <c r="Y35" i="335"/>
  <c r="AB35" i="335" s="1"/>
  <c r="AC69" i="335"/>
  <c r="AF69" i="335" s="1"/>
  <c r="Y69" i="335"/>
  <c r="AB69" i="335" s="1"/>
  <c r="AC14" i="335"/>
  <c r="AF14" i="335" s="1"/>
  <c r="Y14" i="335"/>
  <c r="AB14" i="335" s="1"/>
  <c r="AC64" i="335"/>
  <c r="AF64" i="335" s="1"/>
  <c r="Y64" i="335"/>
  <c r="AB64" i="335" s="1"/>
  <c r="Y54" i="335"/>
  <c r="AB54" i="335" s="1"/>
  <c r="AC54" i="335"/>
  <c r="AF54" i="335" s="1"/>
  <c r="Y75" i="335"/>
  <c r="AB75" i="335" s="1"/>
  <c r="AC75" i="335"/>
  <c r="AF75" i="335" s="1"/>
  <c r="P84" i="335" a="1"/>
  <c r="P84" i="335" s="1"/>
  <c r="P83" i="335" a="1"/>
  <c r="P83" i="335" s="1"/>
  <c r="P73" i="335" a="1"/>
  <c r="P73" i="335" s="1"/>
  <c r="P57" i="335" a="1"/>
  <c r="P57" i="335" s="1"/>
  <c r="P60" i="335" a="1"/>
  <c r="P60" i="335" s="1"/>
  <c r="P53" i="335" a="1"/>
  <c r="P53" i="335" s="1"/>
  <c r="P37" i="335" a="1"/>
  <c r="P37" i="335" s="1"/>
  <c r="P66" i="335" a="1"/>
  <c r="P66" i="335" s="1"/>
  <c r="P56" i="335" a="1"/>
  <c r="P56" i="335" s="1"/>
  <c r="P40" i="335" a="1"/>
  <c r="P40" i="335" s="1"/>
  <c r="P24" i="335" a="1"/>
  <c r="P24" i="335" s="1"/>
  <c r="P12" i="335" a="1"/>
  <c r="P12" i="335" s="1"/>
  <c r="P23" i="335" a="1"/>
  <c r="P23" i="335" s="1"/>
  <c r="P74" i="335" a="1"/>
  <c r="P74" i="335" s="1"/>
  <c r="P67" i="335" a="1"/>
  <c r="P67" i="335" s="1"/>
  <c r="P64" i="335" a="1"/>
  <c r="P64" i="335" s="1"/>
  <c r="P29" i="335" a="1"/>
  <c r="P29" i="335" s="1"/>
  <c r="P77" i="335" a="1"/>
  <c r="P77" i="335" s="1"/>
  <c r="P58" i="335" a="1"/>
  <c r="P58" i="335" s="1"/>
  <c r="P15" i="335" a="1"/>
  <c r="P15" i="335" s="1"/>
  <c r="P42" i="335" a="1"/>
  <c r="P42" i="335" s="1"/>
  <c r="P21" i="335" a="1"/>
  <c r="P21" i="335" s="1"/>
  <c r="P59" i="335" a="1"/>
  <c r="P59" i="335" s="1"/>
  <c r="P43" i="335" a="1"/>
  <c r="P43" i="335" s="1"/>
  <c r="P52" i="335" a="1"/>
  <c r="P52" i="335" s="1"/>
  <c r="P34" i="335" a="1"/>
  <c r="P34" i="335" s="1"/>
  <c r="P13" i="335" a="1"/>
  <c r="P13" i="335" s="1"/>
  <c r="P65" i="335" a="1"/>
  <c r="P65" i="335" s="1"/>
  <c r="P70" i="335" a="1"/>
  <c r="P70" i="335" s="1"/>
  <c r="P54" i="335" a="1"/>
  <c r="P54" i="335" s="1"/>
  <c r="P20" i="335" a="1"/>
  <c r="P20" i="335" s="1"/>
  <c r="P75" i="335" a="1"/>
  <c r="P75" i="335" s="1"/>
  <c r="P30" i="335" a="1"/>
  <c r="P30" i="335" s="1"/>
  <c r="P26" i="335" a="1"/>
  <c r="P26" i="335" s="1"/>
  <c r="P50" i="335" a="1"/>
  <c r="P50" i="335" s="1"/>
  <c r="P22" i="335" a="1"/>
  <c r="P22" i="335" s="1"/>
  <c r="P81" i="335" a="1"/>
  <c r="P81" i="335" s="1"/>
  <c r="P47" i="335" a="1"/>
  <c r="P47" i="335" s="1"/>
  <c r="P32" i="335" a="1"/>
  <c r="P32" i="335" s="1"/>
  <c r="P44" i="335" a="1"/>
  <c r="P44" i="335" s="1"/>
  <c r="P72" i="335" a="1"/>
  <c r="P72" i="335" s="1"/>
  <c r="P17" i="335" a="1"/>
  <c r="P17" i="335" s="1"/>
  <c r="P16" i="335" a="1"/>
  <c r="P16" i="335" s="1"/>
  <c r="P78" i="335" a="1"/>
  <c r="P78" i="335" s="1"/>
  <c r="P39" i="335" a="1"/>
  <c r="P39" i="335" s="1"/>
  <c r="P18" i="335" a="1"/>
  <c r="P18" i="335" s="1"/>
  <c r="P61" i="335" a="1"/>
  <c r="P61" i="335" s="1"/>
  <c r="P69" i="335" a="1"/>
  <c r="P69" i="335" s="1"/>
  <c r="P28" i="335" a="1"/>
  <c r="P28" i="335" s="1"/>
  <c r="P25" i="335" a="1"/>
  <c r="P25" i="335" s="1"/>
  <c r="P51" i="335" a="1"/>
  <c r="P51" i="335" s="1"/>
  <c r="P63" i="335" a="1"/>
  <c r="P63" i="335" s="1"/>
  <c r="P62" i="335" a="1"/>
  <c r="P62" i="335" s="1"/>
  <c r="P55" i="335" a="1"/>
  <c r="P55" i="335" s="1"/>
  <c r="P46" i="335" a="1"/>
  <c r="P46" i="335" s="1"/>
  <c r="P41" i="335" a="1"/>
  <c r="P41" i="335" s="1"/>
  <c r="P82" i="335" a="1"/>
  <c r="P82" i="335" s="1"/>
  <c r="P33" i="335" a="1"/>
  <c r="P33" i="335" s="1"/>
  <c r="P45" i="335" a="1"/>
  <c r="P45" i="335" s="1"/>
  <c r="P49" i="335" a="1"/>
  <c r="P49" i="335" s="1"/>
  <c r="P31" i="335" a="1"/>
  <c r="P31" i="335" s="1"/>
  <c r="AC10" i="335"/>
  <c r="AF10" i="335" s="1"/>
  <c r="P36" i="335" a="1"/>
  <c r="P36" i="335" s="1"/>
  <c r="P80" i="335" a="1"/>
  <c r="P80" i="335" s="1"/>
  <c r="P19" i="335" a="1"/>
  <c r="P19" i="335" s="1"/>
  <c r="P48" i="335" a="1"/>
  <c r="P48" i="335" s="1"/>
  <c r="P14" i="335" a="1"/>
  <c r="P14" i="335" s="1"/>
  <c r="P11" i="335" a="1"/>
  <c r="P11" i="335" s="1"/>
  <c r="P79" i="335" a="1"/>
  <c r="P79" i="335" s="1"/>
  <c r="Y10" i="335"/>
  <c r="AB10" i="335" s="1"/>
  <c r="AI10" i="335" s="1"/>
  <c r="P76" i="335" a="1"/>
  <c r="P76" i="335" s="1"/>
  <c r="P38" i="335" a="1"/>
  <c r="P38" i="335" s="1"/>
  <c r="P68" i="335" a="1"/>
  <c r="P68" i="335" s="1"/>
  <c r="P35" i="335" a="1"/>
  <c r="P35" i="335" s="1"/>
  <c r="P27" i="335" a="1"/>
  <c r="P27" i="335" s="1"/>
  <c r="P71" i="335" a="1"/>
  <c r="P71" i="335" s="1"/>
  <c r="AC15" i="335"/>
  <c r="AF15" i="335" s="1"/>
  <c r="Y15" i="335"/>
  <c r="AB15" i="335" s="1"/>
  <c r="AH82" i="335"/>
  <c r="R82" i="335"/>
  <c r="R64" i="335"/>
  <c r="AH64" i="335"/>
  <c r="Y13" i="335"/>
  <c r="AB13" i="335" s="1"/>
  <c r="AC13" i="335"/>
  <c r="AF13" i="335" s="1"/>
  <c r="AC80" i="335"/>
  <c r="AF80" i="335" s="1"/>
  <c r="Y80" i="335"/>
  <c r="AB80" i="335" s="1"/>
  <c r="Y29" i="335"/>
  <c r="AB29" i="335" s="1"/>
  <c r="AC29" i="335"/>
  <c r="AF29" i="335" s="1"/>
  <c r="AC17" i="335"/>
  <c r="AF17" i="335" s="1"/>
  <c r="Y17" i="335"/>
  <c r="AB17" i="335" s="1"/>
  <c r="AC18" i="335"/>
  <c r="AF18" i="335" s="1"/>
  <c r="Y18" i="335"/>
  <c r="AB18" i="335" s="1"/>
  <c r="R65" i="335"/>
  <c r="AH65" i="335"/>
  <c r="AC19" i="335"/>
  <c r="AF19" i="335" s="1"/>
  <c r="Y19" i="335"/>
  <c r="AB19" i="335" s="1"/>
  <c r="Y30" i="335"/>
  <c r="AB30" i="335" s="1"/>
  <c r="AC30" i="335"/>
  <c r="AF30" i="335" s="1"/>
  <c r="AH84" i="335"/>
  <c r="R84" i="335"/>
  <c r="AH67" i="335"/>
  <c r="R67" i="335"/>
  <c r="AC81" i="335"/>
  <c r="AF81" i="335" s="1"/>
  <c r="Y81" i="335"/>
  <c r="AB81" i="335" s="1"/>
  <c r="AI81" i="335" s="1"/>
  <c r="AH18" i="335"/>
  <c r="R18" i="335"/>
  <c r="R14" i="335"/>
  <c r="AH14" i="335"/>
  <c r="Y82" i="335"/>
  <c r="AB82" i="335" s="1"/>
  <c r="AI82" i="335" s="1"/>
  <c r="AC82" i="335"/>
  <c r="AF82" i="335" s="1"/>
  <c r="R12" i="335"/>
  <c r="AH12" i="335"/>
  <c r="Y36" i="335"/>
  <c r="AB36" i="335" s="1"/>
  <c r="AC36" i="335"/>
  <c r="AF36" i="335" s="1"/>
  <c r="R73" i="335"/>
  <c r="AH73" i="335"/>
  <c r="AG85" i="335"/>
  <c r="AH10" i="335"/>
  <c r="R10" i="335"/>
  <c r="AH44" i="335"/>
  <c r="R44" i="335"/>
  <c r="AC34" i="335"/>
  <c r="AF34" i="335" s="1"/>
  <c r="Y34" i="335"/>
  <c r="AB34" i="335" s="1"/>
  <c r="Y61" i="335"/>
  <c r="AB61" i="335" s="1"/>
  <c r="AC61" i="335"/>
  <c r="AF61" i="335" s="1"/>
  <c r="R30" i="335"/>
  <c r="AH30" i="335"/>
  <c r="AH66" i="335"/>
  <c r="R66" i="335"/>
  <c r="R79" i="335"/>
  <c r="AH79" i="335"/>
  <c r="R29" i="335"/>
  <c r="AH29" i="335"/>
  <c r="R81" i="335"/>
  <c r="AH81" i="335"/>
  <c r="U34" i="326"/>
  <c r="L34" i="326" s="1" a="1"/>
  <c r="L34" i="326" s="1"/>
  <c r="U33" i="326"/>
  <c r="L33" i="326" s="1" a="1"/>
  <c r="L33" i="326" s="1"/>
  <c r="U32" i="326"/>
  <c r="L32" i="326" s="1" a="1"/>
  <c r="L32" i="326" s="1"/>
  <c r="U31" i="326"/>
  <c r="L31" i="326" s="1" a="1"/>
  <c r="L31" i="326" s="1"/>
  <c r="U30" i="326"/>
  <c r="L30" i="326" s="1" a="1"/>
  <c r="L30" i="326" s="1"/>
  <c r="U29" i="326"/>
  <c r="L29" i="326" s="1" a="1"/>
  <c r="L29" i="326" s="1"/>
  <c r="U27" i="326"/>
  <c r="L27" i="326" s="1" a="1"/>
  <c r="L27" i="326" s="1"/>
  <c r="U26" i="326"/>
  <c r="L26" i="326" s="1" a="1"/>
  <c r="L26" i="326" s="1"/>
  <c r="U25" i="326"/>
  <c r="L25" i="326" s="1" a="1"/>
  <c r="L25" i="326" s="1"/>
  <c r="U24" i="326"/>
  <c r="L24" i="326" s="1" a="1"/>
  <c r="L24" i="326" s="1"/>
  <c r="U23" i="326"/>
  <c r="L23" i="326" s="1" a="1"/>
  <c r="L23" i="326" s="1"/>
  <c r="U22" i="326"/>
  <c r="L22" i="326" s="1" a="1"/>
  <c r="L22" i="326" s="1"/>
  <c r="U21" i="326"/>
  <c r="L21" i="326" s="1" a="1"/>
  <c r="L21" i="326" s="1"/>
  <c r="U20" i="326"/>
  <c r="L20" i="326" s="1" a="1"/>
  <c r="L20" i="326" s="1"/>
  <c r="U19" i="326"/>
  <c r="L19" i="326" s="1" a="1"/>
  <c r="L19" i="326" s="1"/>
  <c r="U18" i="326"/>
  <c r="L18" i="326" s="1" a="1"/>
  <c r="L18" i="326" s="1"/>
  <c r="U17" i="326"/>
  <c r="L17" i="326" s="1" a="1"/>
  <c r="L17" i="326" s="1"/>
  <c r="U16" i="326"/>
  <c r="L16" i="326" s="1" a="1"/>
  <c r="L16" i="326" s="1"/>
  <c r="U15" i="326"/>
  <c r="L15" i="326" s="1" a="1"/>
  <c r="L15" i="326" s="1"/>
  <c r="U14" i="326"/>
  <c r="L14" i="326" s="1" a="1"/>
  <c r="L14" i="326" s="1"/>
  <c r="U13" i="326"/>
  <c r="L13" i="326" s="1" a="1"/>
  <c r="L13" i="326" s="1"/>
  <c r="U12" i="326"/>
  <c r="L36" i="326" a="1"/>
  <c r="L36" i="326" s="1"/>
  <c r="R16" i="335" l="1"/>
  <c r="AI12" i="335"/>
  <c r="R20" i="335"/>
  <c r="R21" i="335" s="1"/>
  <c r="AI35" i="335"/>
  <c r="AI61" i="335"/>
  <c r="AI14" i="335"/>
  <c r="AI64" i="335"/>
  <c r="AI75" i="335"/>
  <c r="AI80" i="335"/>
  <c r="AI54" i="335"/>
  <c r="AI29" i="335"/>
  <c r="AI34" i="335"/>
  <c r="AI36" i="335"/>
  <c r="AI15" i="335"/>
  <c r="Q30" i="335"/>
  <c r="AI18" i="335"/>
  <c r="AI19" i="335"/>
  <c r="AI13" i="335"/>
  <c r="AI69" i="335"/>
  <c r="AI30" i="335"/>
  <c r="AI17" i="335"/>
  <c r="D166" i="7"/>
  <c r="D165" i="7"/>
  <c r="D164" i="7"/>
  <c r="D162" i="7"/>
  <c r="D160" i="7"/>
  <c r="D158" i="7"/>
  <c r="D157" i="7"/>
  <c r="D156" i="7"/>
  <c r="D154" i="7"/>
  <c r="D153" i="7"/>
  <c r="D152" i="7"/>
  <c r="D139" i="7"/>
  <c r="D138" i="7"/>
  <c r="D137" i="7"/>
  <c r="D136" i="7"/>
  <c r="D135" i="7"/>
  <c r="D134" i="7"/>
  <c r="D132" i="7"/>
  <c r="D131" i="7"/>
  <c r="D130" i="7"/>
  <c r="D129" i="7"/>
  <c r="D121" i="7"/>
  <c r="D113" i="7"/>
  <c r="D112" i="7"/>
  <c r="D111" i="7"/>
  <c r="D109" i="7"/>
  <c r="D108" i="7"/>
  <c r="D107" i="7"/>
  <c r="D106" i="7"/>
  <c r="D105" i="7"/>
  <c r="D104" i="7"/>
  <c r="D103" i="7"/>
  <c r="D102" i="7"/>
  <c r="D101" i="7"/>
  <c r="D99" i="7"/>
  <c r="D98" i="7"/>
  <c r="D94" i="7"/>
  <c r="D92" i="7"/>
  <c r="D91" i="7"/>
  <c r="D90" i="7"/>
  <c r="D89" i="7"/>
  <c r="D88" i="7"/>
  <c r="D87" i="7"/>
  <c r="D86" i="7"/>
  <c r="D85" i="7"/>
  <c r="D84" i="7"/>
  <c r="D83" i="7"/>
  <c r="D82" i="7"/>
  <c r="D80" i="7"/>
  <c r="D76" i="7"/>
  <c r="D75" i="7"/>
  <c r="D74" i="7"/>
  <c r="D72" i="7"/>
  <c r="D71" i="7"/>
  <c r="D70" i="7"/>
  <c r="D69" i="7"/>
  <c r="D67" i="7"/>
  <c r="D66" i="7"/>
  <c r="D65" i="7"/>
  <c r="D63" i="7"/>
  <c r="D62" i="7"/>
  <c r="D61" i="7"/>
  <c r="D60" i="7"/>
  <c r="D58" i="7"/>
  <c r="D57" i="7"/>
  <c r="D56" i="7"/>
  <c r="D55" i="7"/>
  <c r="D54" i="7"/>
  <c r="D53" i="7"/>
  <c r="D51" i="7"/>
  <c r="D50" i="7"/>
  <c r="D49" i="7"/>
  <c r="D48" i="7"/>
  <c r="D47" i="7"/>
  <c r="D46" i="7"/>
  <c r="D45" i="7"/>
  <c r="D44" i="7"/>
  <c r="D42" i="7"/>
  <c r="D33" i="7"/>
  <c r="D32" i="7"/>
  <c r="D31" i="7"/>
  <c r="D30" i="7"/>
  <c r="D27" i="7"/>
  <c r="D26" i="7"/>
  <c r="D25" i="7"/>
  <c r="D24" i="7"/>
  <c r="D23" i="7"/>
  <c r="D29" i="7"/>
  <c r="D19" i="7"/>
  <c r="D18" i="7"/>
  <c r="D17" i="7"/>
  <c r="D16" i="7"/>
  <c r="D15" i="7"/>
  <c r="D14" i="7"/>
  <c r="D13" i="7"/>
  <c r="D12" i="7"/>
  <c r="D11" i="7"/>
  <c r="D10" i="7"/>
  <c r="D9" i="7"/>
  <c r="U47" i="326"/>
  <c r="L47" i="326" s="1" a="1"/>
  <c r="L47" i="326" s="1"/>
  <c r="U46" i="326"/>
  <c r="L46" i="326" s="1" a="1"/>
  <c r="L46" i="326" s="1"/>
  <c r="L44" i="326" a="1"/>
  <c r="L44" i="326" s="1"/>
  <c r="U43" i="326"/>
  <c r="L43" i="326" s="1" a="1"/>
  <c r="L43" i="326" s="1"/>
  <c r="U42" i="326"/>
  <c r="L42" i="326" s="1" a="1"/>
  <c r="L42" i="326" s="1"/>
  <c r="U40" i="326"/>
  <c r="L40" i="326" s="1" a="1"/>
  <c r="L40" i="326" s="1"/>
  <c r="U39" i="326"/>
  <c r="L39" i="326" s="1" a="1"/>
  <c r="L39" i="326" s="1"/>
  <c r="U38" i="326"/>
  <c r="L38" i="326" s="1" a="1"/>
  <c r="L38" i="326" s="1"/>
  <c r="U37" i="326"/>
  <c r="L37" i="326" s="1" a="1"/>
  <c r="L37" i="326" s="1"/>
  <c r="L12" i="326" a="1"/>
  <c r="L12" i="326" s="1"/>
  <c r="U11" i="326"/>
  <c r="L11" i="326" s="1" a="1"/>
  <c r="L11" i="326" s="1"/>
  <c r="B2" i="326"/>
  <c r="AK49" i="326"/>
  <c r="AE49" i="326"/>
  <c r="G49" i="326"/>
  <c r="AK48" i="326"/>
  <c r="AE48" i="326"/>
  <c r="G48" i="326"/>
  <c r="C48" i="326"/>
  <c r="AK47" i="326"/>
  <c r="AF47" i="326"/>
  <c r="AE47" i="326"/>
  <c r="G47" i="326"/>
  <c r="C47" i="326"/>
  <c r="AK46" i="326"/>
  <c r="AE46" i="326"/>
  <c r="G46" i="326"/>
  <c r="C46" i="326"/>
  <c r="AK45" i="326"/>
  <c r="AE45" i="326"/>
  <c r="G45" i="326"/>
  <c r="AK44" i="326"/>
  <c r="AE44" i="326"/>
  <c r="G44" i="326"/>
  <c r="C44" i="326"/>
  <c r="AK43" i="326"/>
  <c r="AE43" i="326"/>
  <c r="G43" i="326"/>
  <c r="AK42" i="326"/>
  <c r="AE42" i="326"/>
  <c r="G42" i="326"/>
  <c r="AK41" i="326"/>
  <c r="AE41" i="326"/>
  <c r="G41" i="326"/>
  <c r="AK40" i="326"/>
  <c r="AE40" i="326"/>
  <c r="G40" i="326"/>
  <c r="AK39" i="326"/>
  <c r="AE39" i="326"/>
  <c r="AK38" i="326"/>
  <c r="AE38" i="326"/>
  <c r="AK37" i="326"/>
  <c r="AE37" i="326"/>
  <c r="AK36" i="326"/>
  <c r="AE36" i="326"/>
  <c r="AK35" i="326"/>
  <c r="AP34" i="326"/>
  <c r="AJ34" i="326"/>
  <c r="AE34" i="326"/>
  <c r="AA34" i="326"/>
  <c r="Z34" i="326"/>
  <c r="X34" i="326"/>
  <c r="W34" i="326"/>
  <c r="V34" i="326"/>
  <c r="Q34" i="326"/>
  <c r="M34" i="326"/>
  <c r="T34" i="326" s="1"/>
  <c r="BB32" i="326" a="1"/>
  <c r="BB32" i="326" s="1"/>
  <c r="AP33" i="326"/>
  <c r="AJ33" i="326"/>
  <c r="AE33" i="326"/>
  <c r="AA33" i="326"/>
  <c r="Z33" i="326"/>
  <c r="X33" i="326"/>
  <c r="W33" i="326"/>
  <c r="V33" i="326"/>
  <c r="M33" i="326"/>
  <c r="T33" i="326" s="1"/>
  <c r="BB31" i="326" a="1"/>
  <c r="BB31" i="326" s="1"/>
  <c r="AP32" i="326"/>
  <c r="AJ32" i="326"/>
  <c r="AE32" i="326"/>
  <c r="AA32" i="326"/>
  <c r="Z32" i="326"/>
  <c r="X32" i="326"/>
  <c r="W32" i="326"/>
  <c r="V32" i="326"/>
  <c r="M32" i="326"/>
  <c r="T32" i="326" s="1"/>
  <c r="AP31" i="326"/>
  <c r="AA31" i="326"/>
  <c r="Z31" i="326"/>
  <c r="X31" i="326"/>
  <c r="W31" i="326"/>
  <c r="V31" i="326"/>
  <c r="M31" i="326"/>
  <c r="T31" i="326" s="1"/>
  <c r="AP30" i="326"/>
  <c r="AA30" i="326"/>
  <c r="Z30" i="326"/>
  <c r="X30" i="326"/>
  <c r="W30" i="326"/>
  <c r="V30" i="326"/>
  <c r="M30" i="326"/>
  <c r="T30" i="326" s="1"/>
  <c r="AV28" i="326" a="1"/>
  <c r="AV28" i="326" s="1"/>
  <c r="AP29" i="326"/>
  <c r="AA29" i="326"/>
  <c r="Z29" i="326"/>
  <c r="X29" i="326"/>
  <c r="W29" i="326"/>
  <c r="V29" i="326"/>
  <c r="M29" i="326"/>
  <c r="T29" i="326" s="1"/>
  <c r="AP27" i="326"/>
  <c r="AA27" i="326"/>
  <c r="Z27" i="326"/>
  <c r="X27" i="326"/>
  <c r="W27" i="326"/>
  <c r="V27" i="326"/>
  <c r="Q27" i="326"/>
  <c r="M27" i="326"/>
  <c r="T27" i="326" s="1"/>
  <c r="AP26" i="326"/>
  <c r="AA26" i="326"/>
  <c r="Z26" i="326"/>
  <c r="X26" i="326"/>
  <c r="W26" i="326"/>
  <c r="V26" i="326"/>
  <c r="Q26" i="326"/>
  <c r="M26" i="326"/>
  <c r="AP25" i="326"/>
  <c r="AA25" i="326"/>
  <c r="Z25" i="326"/>
  <c r="X25" i="326"/>
  <c r="W25" i="326"/>
  <c r="V25" i="326"/>
  <c r="Q25" i="326"/>
  <c r="M25" i="326"/>
  <c r="T25" i="326" s="1"/>
  <c r="AP24" i="326"/>
  <c r="AA24" i="326"/>
  <c r="Z24" i="326"/>
  <c r="X24" i="326"/>
  <c r="W24" i="326"/>
  <c r="V24" i="326"/>
  <c r="Q24" i="326"/>
  <c r="M24" i="326"/>
  <c r="AP23" i="326"/>
  <c r="AA23" i="326"/>
  <c r="Z23" i="326"/>
  <c r="W23" i="326"/>
  <c r="V23" i="326"/>
  <c r="Q23" i="326"/>
  <c r="M23" i="326"/>
  <c r="AP22" i="326"/>
  <c r="AJ22" i="326"/>
  <c r="AE22" i="326"/>
  <c r="AA22" i="326"/>
  <c r="Z22" i="326"/>
  <c r="X22" i="326"/>
  <c r="W22" i="326"/>
  <c r="V22" i="326"/>
  <c r="M22" i="326"/>
  <c r="T22" i="326" s="1"/>
  <c r="AP21" i="326"/>
  <c r="AJ21" i="326"/>
  <c r="AE21" i="326"/>
  <c r="AA21" i="326"/>
  <c r="Z21" i="326"/>
  <c r="X21" i="326"/>
  <c r="W21" i="326"/>
  <c r="V21" i="326"/>
  <c r="M21" i="326"/>
  <c r="T21" i="326" s="1"/>
  <c r="AP20" i="326"/>
  <c r="AJ20" i="326"/>
  <c r="AE20" i="326"/>
  <c r="AA20" i="326"/>
  <c r="Z20" i="326"/>
  <c r="X20" i="326"/>
  <c r="W20" i="326"/>
  <c r="V20" i="326"/>
  <c r="Q20" i="326"/>
  <c r="M20" i="326"/>
  <c r="T20" i="326" s="1"/>
  <c r="AP19" i="326"/>
  <c r="AJ19" i="326"/>
  <c r="AE19" i="326"/>
  <c r="AA19" i="326"/>
  <c r="Z19" i="326"/>
  <c r="X19" i="326"/>
  <c r="W19" i="326"/>
  <c r="V19" i="326"/>
  <c r="Q19" i="326"/>
  <c r="M19" i="326"/>
  <c r="T19" i="326" s="1"/>
  <c r="AP18" i="326"/>
  <c r="AJ18" i="326"/>
  <c r="AE18" i="326"/>
  <c r="AA18" i="326"/>
  <c r="Z18" i="326"/>
  <c r="X18" i="326"/>
  <c r="W18" i="326"/>
  <c r="V18" i="326"/>
  <c r="Q18" i="326"/>
  <c r="M18" i="326"/>
  <c r="T18" i="326" s="1"/>
  <c r="AP17" i="326"/>
  <c r="AJ17" i="326"/>
  <c r="AE17" i="326"/>
  <c r="AA17" i="326"/>
  <c r="Z17" i="326"/>
  <c r="X17" i="326"/>
  <c r="W17" i="326"/>
  <c r="V17" i="326"/>
  <c r="Q17" i="326"/>
  <c r="M17" i="326"/>
  <c r="AG17" i="326" s="1"/>
  <c r="R17" i="326" s="1"/>
  <c r="AP16" i="326"/>
  <c r="AJ16" i="326"/>
  <c r="AE16" i="326"/>
  <c r="AA16" i="326"/>
  <c r="Z16" i="326"/>
  <c r="X16" i="326"/>
  <c r="W16" i="326"/>
  <c r="V16" i="326"/>
  <c r="Q16" i="326"/>
  <c r="M16" i="326"/>
  <c r="T16" i="326" s="1"/>
  <c r="AP15" i="326"/>
  <c r="AJ15" i="326"/>
  <c r="AE15" i="326"/>
  <c r="AA15" i="326"/>
  <c r="Z15" i="326"/>
  <c r="X15" i="326"/>
  <c r="W15" i="326"/>
  <c r="V15" i="326"/>
  <c r="Q15" i="326"/>
  <c r="M15" i="326"/>
  <c r="AP14" i="326"/>
  <c r="AJ14" i="326"/>
  <c r="AE14" i="326"/>
  <c r="AA14" i="326"/>
  <c r="Z14" i="326"/>
  <c r="X14" i="326"/>
  <c r="W14" i="326"/>
  <c r="V14" i="326"/>
  <c r="Q14" i="326"/>
  <c r="M14" i="326"/>
  <c r="T14" i="326" s="1"/>
  <c r="AP13" i="326"/>
  <c r="AJ13" i="326"/>
  <c r="AE13" i="326"/>
  <c r="AA13" i="326"/>
  <c r="Z13" i="326"/>
  <c r="X13" i="326"/>
  <c r="W13" i="326"/>
  <c r="V13" i="326"/>
  <c r="Q13" i="326"/>
  <c r="M13" i="326"/>
  <c r="BB11" i="326"/>
  <c r="AY11" i="326"/>
  <c r="AP12" i="326"/>
  <c r="AJ12" i="326"/>
  <c r="AE12" i="326"/>
  <c r="AA12" i="326"/>
  <c r="Z12" i="326"/>
  <c r="X12" i="326"/>
  <c r="W12" i="326"/>
  <c r="V12" i="326"/>
  <c r="Q12" i="326"/>
  <c r="M12" i="326"/>
  <c r="T12" i="326" s="1"/>
  <c r="BB10" i="326"/>
  <c r="AP11" i="326"/>
  <c r="AJ11" i="326"/>
  <c r="AE11" i="326"/>
  <c r="AA11" i="326"/>
  <c r="Z11" i="326"/>
  <c r="X11" i="326"/>
  <c r="W11" i="326"/>
  <c r="X42" i="326" s="1"/>
  <c r="V11" i="326"/>
  <c r="Q11" i="326"/>
  <c r="M11" i="326"/>
  <c r="K11" i="326"/>
  <c r="K12" i="326" s="1"/>
  <c r="K13" i="326" s="1"/>
  <c r="K14" i="326" s="1"/>
  <c r="K15" i="326" s="1"/>
  <c r="K16" i="326" s="1"/>
  <c r="K17" i="326" s="1"/>
  <c r="K18" i="326" s="1"/>
  <c r="K19" i="326" s="1"/>
  <c r="K20" i="326" s="1"/>
  <c r="K21" i="326" s="1"/>
  <c r="K22" i="326" s="1"/>
  <c r="K23" i="326" s="1"/>
  <c r="K24" i="326" s="1"/>
  <c r="K25" i="326" s="1"/>
  <c r="K26" i="326" s="1"/>
  <c r="K27" i="326" s="1"/>
  <c r="K28" i="326" s="1"/>
  <c r="K29" i="326" s="1"/>
  <c r="K30" i="326" s="1"/>
  <c r="K31" i="326" s="1"/>
  <c r="K32" i="326" s="1"/>
  <c r="K33" i="326" s="1"/>
  <c r="K34" i="326" s="1"/>
  <c r="J83" i="7"/>
  <c r="J103" i="7"/>
  <c r="J131" i="7"/>
  <c r="J137" i="7"/>
  <c r="J138" i="7"/>
  <c r="J134" i="7"/>
  <c r="J54" i="7"/>
  <c r="J136" i="7"/>
  <c r="J156" i="7"/>
  <c r="J165" i="7"/>
  <c r="J53" i="7"/>
  <c r="J26" i="7"/>
  <c r="J104" i="7"/>
  <c r="J12" i="7"/>
  <c r="J76" i="7"/>
  <c r="J49" i="7"/>
  <c r="J33" i="7"/>
  <c r="J82" i="7"/>
  <c r="J50" i="7"/>
  <c r="J45" i="7"/>
  <c r="J84" i="7"/>
  <c r="J99" i="7"/>
  <c r="J75" i="7"/>
  <c r="J14" i="7"/>
  <c r="J23" i="7"/>
  <c r="J69" i="7"/>
  <c r="J101" i="7"/>
  <c r="J86" i="7"/>
  <c r="J27" i="7"/>
  <c r="J135" i="7"/>
  <c r="J57" i="7"/>
  <c r="J91" i="7"/>
  <c r="J10" i="7"/>
  <c r="J157" i="7"/>
  <c r="J58" i="7"/>
  <c r="J11" i="7"/>
  <c r="J105" i="7"/>
  <c r="J32" i="7"/>
  <c r="J107" i="7"/>
  <c r="J139" i="7"/>
  <c r="J162" i="7"/>
  <c r="J85" i="7"/>
  <c r="J15" i="7"/>
  <c r="J158" i="7"/>
  <c r="J90" i="7"/>
  <c r="J164" i="7"/>
  <c r="J74" i="7"/>
  <c r="J31" i="7"/>
  <c r="J70" i="7"/>
  <c r="J61" i="7"/>
  <c r="J80" i="7"/>
  <c r="J106" i="7"/>
  <c r="J62" i="7"/>
  <c r="J166" i="7"/>
  <c r="J129" i="7"/>
  <c r="J113" i="7"/>
  <c r="J55" i="7"/>
  <c r="J102" i="7"/>
  <c r="J160" i="7"/>
  <c r="J98" i="7"/>
  <c r="J94" i="7"/>
  <c r="J30" i="7"/>
  <c r="J63" i="7"/>
  <c r="J44" i="7"/>
  <c r="J16" i="7"/>
  <c r="J42" i="7"/>
  <c r="J13" i="7"/>
  <c r="J60" i="7"/>
  <c r="J18" i="7"/>
  <c r="J24" i="7"/>
  <c r="J88" i="7"/>
  <c r="J17" i="7"/>
  <c r="J92" i="7"/>
  <c r="J108" i="7"/>
  <c r="J51" i="7"/>
  <c r="J89" i="7"/>
  <c r="J152" i="7"/>
  <c r="J56" i="7"/>
  <c r="J130" i="7"/>
  <c r="J71" i="7"/>
  <c r="J112" i="7"/>
  <c r="J109" i="7"/>
  <c r="J132" i="7"/>
  <c r="J72" i="7"/>
  <c r="J67" i="7"/>
  <c r="J46" i="7"/>
  <c r="J48" i="7"/>
  <c r="J87" i="7"/>
  <c r="J25" i="7"/>
  <c r="J29" i="7"/>
  <c r="J66" i="7"/>
  <c r="J154" i="7"/>
  <c r="J111" i="7"/>
  <c r="J47" i="7"/>
  <c r="J121" i="7"/>
  <c r="J153" i="7"/>
  <c r="J19" i="7"/>
  <c r="J65" i="7"/>
  <c r="M27" i="362" l="1"/>
  <c r="N27" i="362"/>
  <c r="H27" i="362"/>
  <c r="B19" i="231"/>
  <c r="H19" i="231" s="1" a="1"/>
  <c r="H19" i="231" s="1"/>
  <c r="B13" i="231"/>
  <c r="X43" i="326"/>
  <c r="X44" i="326" s="1"/>
  <c r="T11" i="326"/>
  <c r="S28" i="326"/>
  <c r="O28" i="326" s="1"/>
  <c r="F19" i="305" a="1"/>
  <c r="F19" i="305" s="1"/>
  <c r="F20" i="305" a="1"/>
  <c r="F20" i="305" s="1"/>
  <c r="F18" i="305" a="1"/>
  <c r="F18" i="305" s="1"/>
  <c r="F21" i="305" a="1"/>
  <c r="F21" i="305" s="1"/>
  <c r="C33" i="231"/>
  <c r="M33" i="231" s="1" a="1"/>
  <c r="M33" i="231" s="1"/>
  <c r="B27" i="231"/>
  <c r="B23" i="231"/>
  <c r="C19" i="231"/>
  <c r="M19" i="231" s="1" a="1"/>
  <c r="M19" i="231" s="1"/>
  <c r="C27" i="231"/>
  <c r="M27" i="231" s="1" a="1"/>
  <c r="M27" i="231" s="1"/>
  <c r="B22" i="231"/>
  <c r="B33" i="231"/>
  <c r="H33" i="231" s="1" a="1"/>
  <c r="H33" i="231" s="1"/>
  <c r="C23" i="231"/>
  <c r="M23" i="231" s="1" a="1"/>
  <c r="M23" i="231" s="1"/>
  <c r="C22" i="231"/>
  <c r="M22" i="231" s="1" a="1"/>
  <c r="M22" i="231" s="1"/>
  <c r="AD31" i="326"/>
  <c r="AD14" i="326"/>
  <c r="R22" i="335"/>
  <c r="AG14" i="326"/>
  <c r="R14" i="326" s="1"/>
  <c r="AD11" i="326"/>
  <c r="BC11" i="326"/>
  <c r="AD27" i="326"/>
  <c r="K35" i="326"/>
  <c r="AD20" i="326"/>
  <c r="AD16" i="326"/>
  <c r="AD19" i="326"/>
  <c r="Q31" i="335"/>
  <c r="AG13" i="326"/>
  <c r="R13" i="326" s="1"/>
  <c r="T13" i="326"/>
  <c r="AG26" i="326"/>
  <c r="T26" i="326"/>
  <c r="AG23" i="326"/>
  <c r="T23" i="326"/>
  <c r="AD26" i="326"/>
  <c r="AD23" i="326"/>
  <c r="AD33" i="326"/>
  <c r="AG29" i="326"/>
  <c r="AD32" i="326"/>
  <c r="AD22" i="326"/>
  <c r="AG33" i="326"/>
  <c r="R33" i="326" s="1"/>
  <c r="AG22" i="326"/>
  <c r="R22" i="326" s="1"/>
  <c r="AG24" i="326"/>
  <c r="T24" i="326"/>
  <c r="S17" i="326"/>
  <c r="AP35" i="326"/>
  <c r="AG15" i="326"/>
  <c r="AH15" i="326" s="1"/>
  <c r="T15" i="326"/>
  <c r="AD17" i="326"/>
  <c r="T17" i="326"/>
  <c r="AD21" i="326"/>
  <c r="AD18" i="326"/>
  <c r="S18" i="326"/>
  <c r="O18" i="326" s="1"/>
  <c r="AG18" i="326"/>
  <c r="S25" i="326"/>
  <c r="O25" i="326" s="1"/>
  <c r="BB22" i="326"/>
  <c r="BB28" i="326"/>
  <c r="BB25" i="326"/>
  <c r="BB17" i="326"/>
  <c r="BB16" i="326"/>
  <c r="AH17" i="326"/>
  <c r="BB24" i="326"/>
  <c r="S31" i="326"/>
  <c r="O31" i="326" s="1"/>
  <c r="AG31" i="326"/>
  <c r="S23" i="326"/>
  <c r="O23" i="326" s="1"/>
  <c r="AG27" i="326"/>
  <c r="S27" i="326"/>
  <c r="O27" i="326" s="1"/>
  <c r="AG11" i="326"/>
  <c r="S11" i="326"/>
  <c r="O11" i="326" s="1"/>
  <c r="AG34" i="326"/>
  <c r="S34" i="326"/>
  <c r="O34" i="326" s="1"/>
  <c r="AD34" i="326"/>
  <c r="S30" i="326"/>
  <c r="O30" i="326" s="1"/>
  <c r="BB18" i="326"/>
  <c r="S22" i="326"/>
  <c r="O22" i="326" s="1"/>
  <c r="S33" i="326"/>
  <c r="O33" i="326" s="1"/>
  <c r="S19" i="326"/>
  <c r="O19" i="326" s="1"/>
  <c r="AG19" i="326"/>
  <c r="S20" i="326"/>
  <c r="O20" i="326" s="1"/>
  <c r="AG20" i="326"/>
  <c r="BB21" i="326"/>
  <c r="AG25" i="326"/>
  <c r="S26" i="326"/>
  <c r="O26" i="326" s="1"/>
  <c r="S24" i="326"/>
  <c r="O24" i="326" s="1"/>
  <c r="BB20" i="326"/>
  <c r="BB19" i="326"/>
  <c r="S13" i="326"/>
  <c r="O13" i="326" s="1"/>
  <c r="S14" i="326"/>
  <c r="O14" i="326" s="1"/>
  <c r="BB27" i="326"/>
  <c r="S12" i="326"/>
  <c r="O12" i="326" s="1"/>
  <c r="AG21" i="326"/>
  <c r="S21" i="326"/>
  <c r="O21" i="326" s="1"/>
  <c r="BB23" i="326"/>
  <c r="AD25" i="326"/>
  <c r="AD30" i="326"/>
  <c r="AG30" i="326"/>
  <c r="S15" i="326"/>
  <c r="O15" i="326" s="1"/>
  <c r="AD15" i="326"/>
  <c r="BB15" i="326"/>
  <c r="Q21" i="326"/>
  <c r="AD24" i="326"/>
  <c r="BB26" i="326"/>
  <c r="AD12" i="326"/>
  <c r="AG32" i="326"/>
  <c r="S32" i="326"/>
  <c r="O32" i="326" s="1"/>
  <c r="AG12" i="326"/>
  <c r="AG16" i="326"/>
  <c r="S16" i="326"/>
  <c r="O16" i="326" s="1"/>
  <c r="S29" i="326"/>
  <c r="O29" i="326" s="1"/>
  <c r="X38" i="326"/>
  <c r="AD13" i="326"/>
  <c r="AD29" i="326"/>
  <c r="J9" i="7"/>
  <c r="Y17" i="326" l="1"/>
  <c r="AB17" i="326" s="1"/>
  <c r="AI17" i="326" s="1"/>
  <c r="O17" i="326"/>
  <c r="AM11" i="326"/>
  <c r="AL11" i="326"/>
  <c r="AO11" i="326" s="1"/>
  <c r="AK11" i="326"/>
  <c r="N11" i="326"/>
  <c r="G18" i="305" a="1"/>
  <c r="G18" i="305" s="1"/>
  <c r="G20" i="305" a="1"/>
  <c r="G20" i="305" s="1"/>
  <c r="G19" i="305" a="1"/>
  <c r="G19" i="305" s="1"/>
  <c r="G21" i="305" a="1"/>
  <c r="G21" i="305" s="1"/>
  <c r="T33" i="231"/>
  <c r="T19" i="231"/>
  <c r="K19" i="231"/>
  <c r="P19" i="231"/>
  <c r="Q19" i="231" s="1"/>
  <c r="P28" i="326" a="1"/>
  <c r="P28" i="326" s="1"/>
  <c r="R23" i="335"/>
  <c r="AH14" i="326"/>
  <c r="AH22" i="326"/>
  <c r="AC17" i="326"/>
  <c r="AF17" i="326" s="1"/>
  <c r="R15" i="326"/>
  <c r="AH13" i="326"/>
  <c r="Q32" i="335"/>
  <c r="Q33" i="335" s="1"/>
  <c r="AH33" i="326"/>
  <c r="AD35" i="326"/>
  <c r="AC15" i="326"/>
  <c r="AF15" i="326" s="1"/>
  <c r="Y15" i="326"/>
  <c r="AB15" i="326" s="1"/>
  <c r="AH34" i="326"/>
  <c r="R34" i="326"/>
  <c r="Y21" i="326"/>
  <c r="AB21" i="326" s="1"/>
  <c r="AC21" i="326"/>
  <c r="AF21" i="326" s="1"/>
  <c r="AG35" i="326"/>
  <c r="R11" i="326"/>
  <c r="AH11" i="326"/>
  <c r="Y14" i="326"/>
  <c r="AB14" i="326" s="1"/>
  <c r="AC14" i="326"/>
  <c r="AF14" i="326" s="1"/>
  <c r="AC33" i="326"/>
  <c r="AF33" i="326" s="1"/>
  <c r="Y33" i="326"/>
  <c r="AB33" i="326" s="1"/>
  <c r="AC13" i="326"/>
  <c r="AF13" i="326" s="1"/>
  <c r="Y13" i="326"/>
  <c r="AB13" i="326" s="1"/>
  <c r="AC22" i="326"/>
  <c r="AF22" i="326" s="1"/>
  <c r="Y22" i="326"/>
  <c r="AB22" i="326" s="1"/>
  <c r="R21" i="326"/>
  <c r="AH21" i="326"/>
  <c r="Q22" i="326"/>
  <c r="Q28" i="326" s="1"/>
  <c r="R18" i="326"/>
  <c r="AH18" i="326"/>
  <c r="Y12" i="326"/>
  <c r="AB12" i="326" s="1"/>
  <c r="AC12" i="326"/>
  <c r="AF12" i="326" s="1"/>
  <c r="R20" i="326"/>
  <c r="AH20" i="326"/>
  <c r="X37" i="326"/>
  <c r="Y16" i="326"/>
  <c r="AB16" i="326" s="1"/>
  <c r="AC16" i="326"/>
  <c r="AF16" i="326" s="1"/>
  <c r="AH19" i="326"/>
  <c r="R19" i="326"/>
  <c r="AH16" i="326"/>
  <c r="R16" i="326"/>
  <c r="Y20" i="326"/>
  <c r="AB20" i="326" s="1"/>
  <c r="AC20" i="326"/>
  <c r="AF20" i="326" s="1"/>
  <c r="AH12" i="326"/>
  <c r="R12" i="326"/>
  <c r="Y19" i="326"/>
  <c r="AB19" i="326" s="1"/>
  <c r="AC19" i="326"/>
  <c r="AF19" i="326" s="1"/>
  <c r="Y34" i="326"/>
  <c r="AB34" i="326" s="1"/>
  <c r="AI34" i="326" s="1"/>
  <c r="AC34" i="326"/>
  <c r="AF34" i="326" s="1"/>
  <c r="P34" i="326" a="1"/>
  <c r="P34" i="326" s="1"/>
  <c r="P19" i="326" a="1"/>
  <c r="P19" i="326" s="1"/>
  <c r="P23" i="326" a="1"/>
  <c r="P23" i="326" s="1"/>
  <c r="P32" i="326" a="1"/>
  <c r="P32" i="326" s="1"/>
  <c r="Y11" i="326"/>
  <c r="AB11" i="326" s="1"/>
  <c r="AI11" i="326" s="1"/>
  <c r="P13" i="326" a="1"/>
  <c r="P13" i="326" s="1"/>
  <c r="P16" i="326" a="1"/>
  <c r="P16" i="326" s="1"/>
  <c r="P12" i="326" a="1"/>
  <c r="P12" i="326" s="1"/>
  <c r="P33" i="326" a="1"/>
  <c r="P33" i="326" s="1"/>
  <c r="P25" i="326" a="1"/>
  <c r="P25" i="326" s="1"/>
  <c r="P21" i="326" a="1"/>
  <c r="P21" i="326" s="1"/>
  <c r="P26" i="326" a="1"/>
  <c r="P26" i="326" s="1"/>
  <c r="P22" i="326" a="1"/>
  <c r="P22" i="326" s="1"/>
  <c r="P17" i="326" a="1"/>
  <c r="P17" i="326" s="1"/>
  <c r="P15" i="326" a="1"/>
  <c r="P15" i="326" s="1"/>
  <c r="P31" i="326" a="1"/>
  <c r="P31" i="326" s="1"/>
  <c r="P18" i="326" a="1"/>
  <c r="P18" i="326" s="1"/>
  <c r="P20" i="326" a="1"/>
  <c r="P20" i="326" s="1"/>
  <c r="P29" i="326" a="1"/>
  <c r="P29" i="326" s="1"/>
  <c r="P30" i="326" a="1"/>
  <c r="P30" i="326" s="1"/>
  <c r="P27" i="326" a="1"/>
  <c r="P27" i="326" s="1"/>
  <c r="P14" i="326" a="1"/>
  <c r="P14" i="326" s="1"/>
  <c r="AC11" i="326"/>
  <c r="AF11" i="326" s="1"/>
  <c r="P24" i="326" a="1"/>
  <c r="P24" i="326" s="1"/>
  <c r="AC18" i="326"/>
  <c r="AF18" i="326" s="1"/>
  <c r="Y18" i="326"/>
  <c r="AB18" i="326" s="1"/>
  <c r="R32" i="326"/>
  <c r="AH32" i="326"/>
  <c r="Q29" i="326" l="1"/>
  <c r="S19" i="231"/>
  <c r="AK28" i="326"/>
  <c r="R24" i="335"/>
  <c r="AM19" i="326"/>
  <c r="R25" i="335"/>
  <c r="AM18" i="326"/>
  <c r="Y21" i="335"/>
  <c r="Y22" i="335" s="1"/>
  <c r="AB22" i="335" s="1"/>
  <c r="Q34" i="335"/>
  <c r="AE20" i="335"/>
  <c r="AK14" i="326"/>
  <c r="R23" i="326"/>
  <c r="AI16" i="326"/>
  <c r="AI22" i="326"/>
  <c r="AI14" i="326"/>
  <c r="AI20" i="326"/>
  <c r="AL33" i="326"/>
  <c r="N33" i="326"/>
  <c r="AK33" i="326"/>
  <c r="AM33" i="326"/>
  <c r="AI12" i="326"/>
  <c r="AK13" i="326"/>
  <c r="AI18" i="326"/>
  <c r="AK22" i="326"/>
  <c r="AI21" i="326"/>
  <c r="AI15" i="326"/>
  <c r="AL17" i="326"/>
  <c r="N17" i="326"/>
  <c r="AM17" i="326"/>
  <c r="AK17" i="326"/>
  <c r="AM34" i="326"/>
  <c r="AL34" i="326"/>
  <c r="AK34" i="326"/>
  <c r="N34" i="326"/>
  <c r="AI13" i="326"/>
  <c r="AI33" i="326"/>
  <c r="AI19" i="326"/>
  <c r="M47" i="362" l="1"/>
  <c r="N47" i="362"/>
  <c r="H47" i="362"/>
  <c r="AL16" i="326"/>
  <c r="AO16" i="326" s="1"/>
  <c r="AK16" i="326"/>
  <c r="N16" i="326"/>
  <c r="AM16" i="326"/>
  <c r="Q30" i="326"/>
  <c r="N19" i="326"/>
  <c r="AK19" i="326"/>
  <c r="R26" i="335"/>
  <c r="AL19" i="326"/>
  <c r="AO19" i="326" s="1"/>
  <c r="AK21" i="326"/>
  <c r="AK15" i="326"/>
  <c r="N18" i="326"/>
  <c r="AL18" i="326"/>
  <c r="AO18" i="326" s="1"/>
  <c r="AK18" i="326"/>
  <c r="AK32" i="326"/>
  <c r="R27" i="335"/>
  <c r="R33" i="335" s="1"/>
  <c r="Y23" i="335"/>
  <c r="Q35" i="335"/>
  <c r="AI22" i="335"/>
  <c r="AJ22" i="335"/>
  <c r="AH20" i="335"/>
  <c r="AB21" i="335"/>
  <c r="AJ20" i="335"/>
  <c r="AC21" i="335"/>
  <c r="AO17" i="326"/>
  <c r="AO33" i="326"/>
  <c r="AK12" i="326"/>
  <c r="AO34" i="326"/>
  <c r="R24" i="326"/>
  <c r="AK20" i="326"/>
  <c r="N48" i="362" l="1"/>
  <c r="M48" i="362"/>
  <c r="H48" i="362"/>
  <c r="Q31" i="326"/>
  <c r="Q32" i="326" s="1"/>
  <c r="Q33" i="326" s="1"/>
  <c r="R28" i="335"/>
  <c r="AB23" i="335"/>
  <c r="AI23" i="335" s="1"/>
  <c r="AJ23" i="335"/>
  <c r="AI21" i="335"/>
  <c r="AJ21" i="335"/>
  <c r="AE21" i="335"/>
  <c r="Q36" i="335"/>
  <c r="Q37" i="335" s="1"/>
  <c r="Q41" i="335" s="1"/>
  <c r="AK23" i="326"/>
  <c r="R25" i="326"/>
  <c r="R31" i="335" l="1"/>
  <c r="Y24" i="335"/>
  <c r="AC22" i="335"/>
  <c r="R39" i="335"/>
  <c r="AF21" i="335"/>
  <c r="AJ24" i="335"/>
  <c r="Y25" i="335"/>
  <c r="AH21" i="335"/>
  <c r="Q43" i="335"/>
  <c r="Q44" i="335" s="1"/>
  <c r="Q45" i="335" s="1"/>
  <c r="Q46" i="335" s="1"/>
  <c r="Q47" i="335" s="1"/>
  <c r="R26" i="326"/>
  <c r="AK24" i="326"/>
  <c r="AL24" i="326"/>
  <c r="N24" i="326"/>
  <c r="AM24" i="326"/>
  <c r="AB24" i="335" l="1"/>
  <c r="AI24" i="335" s="1"/>
  <c r="AE22" i="335"/>
  <c r="R32" i="335"/>
  <c r="AB25" i="335"/>
  <c r="AC23" i="335"/>
  <c r="Q48" i="335"/>
  <c r="R27" i="326"/>
  <c r="AL25" i="326"/>
  <c r="AK25" i="326"/>
  <c r="N25" i="326"/>
  <c r="AM25" i="326"/>
  <c r="AH22" i="335" l="1"/>
  <c r="Q50" i="335"/>
  <c r="Q49" i="335"/>
  <c r="AF22" i="335"/>
  <c r="R37" i="335"/>
  <c r="AI25" i="335"/>
  <c r="AJ25" i="335"/>
  <c r="Y27" i="335"/>
  <c r="AE23" i="335"/>
  <c r="Q53" i="335"/>
  <c r="Q54" i="335" s="1"/>
  <c r="R29" i="326"/>
  <c r="AO24" i="326"/>
  <c r="N26" i="326"/>
  <c r="AM26" i="326"/>
  <c r="AL26" i="326"/>
  <c r="AK26" i="326"/>
  <c r="AO25" i="326"/>
  <c r="Q56" i="335" l="1"/>
  <c r="Q58" i="335" s="1"/>
  <c r="AB27" i="335"/>
  <c r="AI27" i="335" s="1"/>
  <c r="R38" i="335"/>
  <c r="Y33" i="335"/>
  <c r="Q59" i="335"/>
  <c r="Q60" i="335" s="1"/>
  <c r="AH23" i="335"/>
  <c r="AF23" i="335"/>
  <c r="AM27" i="326"/>
  <c r="AL27" i="326"/>
  <c r="AK27" i="326"/>
  <c r="N27" i="326"/>
  <c r="R30" i="326"/>
  <c r="Q61" i="335" l="1"/>
  <c r="Q62" i="335" s="1"/>
  <c r="N23" i="326"/>
  <c r="N28" i="326"/>
  <c r="R40" i="335"/>
  <c r="R41" i="335"/>
  <c r="R42" i="335"/>
  <c r="AJ27" i="335"/>
  <c r="AB33" i="335"/>
  <c r="Q64" i="335"/>
  <c r="AK29" i="326"/>
  <c r="N29" i="326"/>
  <c r="AO26" i="326"/>
  <c r="AO27" i="326"/>
  <c r="R31" i="326"/>
  <c r="M51" i="362" l="1"/>
  <c r="H50" i="362"/>
  <c r="M49" i="362"/>
  <c r="N52" i="362"/>
  <c r="H49" i="362"/>
  <c r="K52" i="362"/>
  <c r="H52" i="362"/>
  <c r="N51" i="362"/>
  <c r="N50" i="362"/>
  <c r="H51" i="362"/>
  <c r="M50" i="362"/>
  <c r="N49" i="362"/>
  <c r="O52" i="362"/>
  <c r="R43" i="335"/>
  <c r="R47" i="335"/>
  <c r="Y39" i="335"/>
  <c r="AB39" i="335" s="1"/>
  <c r="AI39" i="335" s="1"/>
  <c r="AJ33" i="335"/>
  <c r="AI33" i="335"/>
  <c r="AC24" i="335"/>
  <c r="Q65" i="335"/>
  <c r="Q66" i="335" s="1"/>
  <c r="N30" i="326"/>
  <c r="AK30" i="326"/>
  <c r="J52" i="362" l="1"/>
  <c r="M52" i="362"/>
  <c r="P52" i="362"/>
  <c r="I52" i="362"/>
  <c r="L52" i="362"/>
  <c r="R45" i="335"/>
  <c r="Q67" i="335"/>
  <c r="R51" i="335"/>
  <c r="R52" i="335"/>
  <c r="AJ39" i="335"/>
  <c r="AE24" i="335"/>
  <c r="Q69" i="335"/>
  <c r="AK31" i="326"/>
  <c r="R46" i="335" l="1"/>
  <c r="Q70" i="335"/>
  <c r="AF24" i="335"/>
  <c r="R55" i="335"/>
  <c r="Y41" i="335"/>
  <c r="AB41" i="335" s="1"/>
  <c r="AH24" i="335"/>
  <c r="AC25" i="335"/>
  <c r="Q73" i="335"/>
  <c r="Q74" i="335" s="1"/>
  <c r="Q75" i="335" s="1"/>
  <c r="AJ41" i="335" l="1"/>
  <c r="R48" i="335"/>
  <c r="R56" i="335"/>
  <c r="AI41" i="335"/>
  <c r="Y42" i="335"/>
  <c r="Q79" i="335"/>
  <c r="Q80" i="335" s="1"/>
  <c r="Q82" i="335" s="1"/>
  <c r="AE25" i="335"/>
  <c r="R50" i="335" l="1"/>
  <c r="R57" i="335"/>
  <c r="AB42" i="335"/>
  <c r="AH25" i="335"/>
  <c r="AF25" i="335"/>
  <c r="R58" i="335" l="1"/>
  <c r="R59" i="335" s="1"/>
  <c r="Y44" i="335"/>
  <c r="AI42" i="335"/>
  <c r="AJ42" i="335"/>
  <c r="R60" i="335" l="1"/>
  <c r="AB44" i="335"/>
  <c r="R62" i="335"/>
  <c r="Y47" i="335"/>
  <c r="AC27" i="335"/>
  <c r="AI44" i="335" l="1"/>
  <c r="R68" i="335"/>
  <c r="AB47" i="335"/>
  <c r="Y51" i="335"/>
  <c r="AB51" i="335" s="1"/>
  <c r="AI51" i="335" s="1"/>
  <c r="AE27" i="335"/>
  <c r="R70" i="335" l="1"/>
  <c r="AJ51" i="335"/>
  <c r="AI47" i="335"/>
  <c r="AJ47" i="335"/>
  <c r="Y52" i="335"/>
  <c r="AB52" i="335" s="1"/>
  <c r="AI52" i="335" s="1"/>
  <c r="AH27" i="335"/>
  <c r="AC33" i="335"/>
  <c r="AF27" i="335"/>
  <c r="R71" i="335" l="1"/>
  <c r="AJ52" i="335"/>
  <c r="Y53" i="335"/>
  <c r="AE33" i="335"/>
  <c r="AB53" i="335" l="1"/>
  <c r="AI53" i="335" s="1"/>
  <c r="AF33" i="335"/>
  <c r="R72" i="335"/>
  <c r="Y55" i="335"/>
  <c r="AB55" i="335" s="1"/>
  <c r="AH33" i="335"/>
  <c r="AI55" i="335" l="1"/>
  <c r="R76" i="335"/>
  <c r="AJ55" i="335"/>
  <c r="R77" i="335" l="1"/>
  <c r="AJ56" i="335"/>
  <c r="Y57" i="335"/>
  <c r="AB57" i="335" s="1"/>
  <c r="AI57" i="335" s="1"/>
  <c r="AC39" i="335"/>
  <c r="R78" i="335" l="1"/>
  <c r="AJ57" i="335"/>
  <c r="Y58" i="335"/>
  <c r="AE39" i="335"/>
  <c r="N34" i="362" l="1"/>
  <c r="M35" i="362"/>
  <c r="H28" i="362"/>
  <c r="M37" i="362"/>
  <c r="M34" i="362"/>
  <c r="M33" i="362"/>
  <c r="H33" i="362"/>
  <c r="N33" i="362"/>
  <c r="H40" i="362"/>
  <c r="N35" i="362"/>
  <c r="M32" i="362"/>
  <c r="N31" i="362"/>
  <c r="N32" i="362"/>
  <c r="N29" i="362"/>
  <c r="H37" i="362"/>
  <c r="H34" i="362"/>
  <c r="M39" i="362"/>
  <c r="N38" i="362"/>
  <c r="M41" i="362"/>
  <c r="N36" i="362"/>
  <c r="M38" i="362"/>
  <c r="N41" i="362"/>
  <c r="H38" i="362"/>
  <c r="H41" i="362"/>
  <c r="M31" i="362"/>
  <c r="M28" i="362"/>
  <c r="H29" i="362"/>
  <c r="H39" i="362"/>
  <c r="N30" i="362"/>
  <c r="H30" i="362"/>
  <c r="N39" i="362"/>
  <c r="M30" i="362"/>
  <c r="H31" i="362"/>
  <c r="M40" i="362"/>
  <c r="H36" i="362"/>
  <c r="H35" i="362"/>
  <c r="M36" i="362"/>
  <c r="M29" i="362"/>
  <c r="H32" i="362"/>
  <c r="N37" i="362"/>
  <c r="N28" i="362"/>
  <c r="N40" i="362"/>
  <c r="Z126" i="335"/>
  <c r="Z121" i="335"/>
  <c r="Z122" i="335"/>
  <c r="Z124" i="335"/>
  <c r="Z173" i="335"/>
  <c r="Z130" i="335"/>
  <c r="Z132" i="335"/>
  <c r="Z134" i="335"/>
  <c r="Z136" i="335"/>
  <c r="Z140" i="335"/>
  <c r="Z149" i="335"/>
  <c r="Z175" i="335"/>
  <c r="Z172" i="335"/>
  <c r="Z123" i="335"/>
  <c r="Z131" i="335"/>
  <c r="Z141" i="335"/>
  <c r="Z150" i="335"/>
  <c r="Z158" i="335"/>
  <c r="Z165" i="335"/>
  <c r="Z151" i="335"/>
  <c r="Z157" i="335"/>
  <c r="Z143" i="335"/>
  <c r="Z128" i="335"/>
  <c r="Z145" i="335"/>
  <c r="Z159" i="335"/>
  <c r="Z168" i="335"/>
  <c r="Z176" i="335"/>
  <c r="Z127" i="335"/>
  <c r="Z137" i="335"/>
  <c r="Z146" i="335"/>
  <c r="Z154" i="335"/>
  <c r="Z161" i="335"/>
  <c r="Z169" i="335"/>
  <c r="Z153" i="335"/>
  <c r="Z155" i="335"/>
  <c r="Z138" i="335"/>
  <c r="Z147" i="335"/>
  <c r="Z142" i="335"/>
  <c r="Z171" i="335"/>
  <c r="Z170" i="335"/>
  <c r="Z120" i="335"/>
  <c r="Z135" i="335"/>
  <c r="Z156" i="335"/>
  <c r="Z152" i="335"/>
  <c r="Z129" i="335"/>
  <c r="Z167" i="335"/>
  <c r="Z148" i="335"/>
  <c r="Z133" i="335"/>
  <c r="Z139" i="335"/>
  <c r="Z164" i="335"/>
  <c r="Z162" i="335"/>
  <c r="Z163" i="335"/>
  <c r="Z166" i="335"/>
  <c r="Z174" i="335"/>
  <c r="Z125" i="335"/>
  <c r="Z144" i="335"/>
  <c r="Z160" i="335"/>
  <c r="AB58" i="335"/>
  <c r="AI58" i="335" s="1"/>
  <c r="AF39" i="335"/>
  <c r="AJ58" i="335"/>
  <c r="Y62" i="335"/>
  <c r="AB62" i="335" s="1"/>
  <c r="AI62" i="335" s="1"/>
  <c r="AH39" i="335"/>
  <c r="AJ62" i="335" l="1"/>
  <c r="Y68" i="335" l="1"/>
  <c r="AB68" i="335" s="1"/>
  <c r="AI68" i="335" s="1"/>
  <c r="AC41" i="335"/>
  <c r="AJ68" i="335" l="1"/>
  <c r="AE41" i="335"/>
  <c r="Y71" i="335" l="1"/>
  <c r="AB71" i="335" s="1"/>
  <c r="AJ71" i="335" s="1"/>
  <c r="AH41" i="335"/>
  <c r="AC42" i="335"/>
  <c r="AF41" i="335"/>
  <c r="AI71" i="335" l="1"/>
  <c r="Y72" i="335"/>
  <c r="Y73" i="335" s="1"/>
  <c r="AJ70" i="335"/>
  <c r="AE42" i="335"/>
  <c r="AB73" i="335" l="1"/>
  <c r="AI73" i="335" s="1"/>
  <c r="Y74" i="335"/>
  <c r="AB74" i="335" s="1"/>
  <c r="AI74" i="335" s="1"/>
  <c r="AB72" i="335"/>
  <c r="AH42" i="335"/>
  <c r="AF42" i="335"/>
  <c r="Y76" i="335" l="1"/>
  <c r="AB76" i="335" s="1"/>
  <c r="AI76" i="335" s="1"/>
  <c r="AI72" i="335"/>
  <c r="AJ72" i="335"/>
  <c r="AC44" i="335"/>
  <c r="Y77" i="335" l="1"/>
  <c r="AB77" i="335" s="1"/>
  <c r="AJ76" i="335"/>
  <c r="Y78" i="335"/>
  <c r="AF44" i="335"/>
  <c r="AC47" i="335"/>
  <c r="AB78" i="335" l="1"/>
  <c r="AI78" i="335" s="1"/>
  <c r="Y79" i="335"/>
  <c r="AB79" i="335" s="1"/>
  <c r="AI79" i="335" s="1"/>
  <c r="AJ78" i="335"/>
  <c r="AI77" i="335"/>
  <c r="AJ77" i="335"/>
  <c r="AE47" i="335"/>
  <c r="AH47" i="335" l="1"/>
  <c r="AC51" i="335"/>
  <c r="AF47" i="335"/>
  <c r="AE51" i="335" l="1"/>
  <c r="AF51" i="335" l="1"/>
  <c r="AH51" i="335"/>
  <c r="AC52" i="335"/>
  <c r="AE52" i="335" l="1"/>
  <c r="AF52" i="335" l="1"/>
  <c r="AH52" i="335"/>
  <c r="AC53" i="335"/>
  <c r="AF53" i="335" l="1"/>
  <c r="AC55" i="335"/>
  <c r="AE55" i="335" l="1"/>
  <c r="AF55" i="335" l="1"/>
  <c r="AH55" i="335"/>
  <c r="AE56" i="335" l="1"/>
  <c r="AH56" i="335" l="1"/>
  <c r="AC57" i="335"/>
  <c r="AE57" i="335" l="1"/>
  <c r="AF57" i="335" l="1"/>
  <c r="AH57" i="335"/>
  <c r="AC58" i="335"/>
  <c r="AE58" i="335" l="1"/>
  <c r="AF58" i="335" l="1"/>
  <c r="AH58" i="335"/>
  <c r="AC62" i="335"/>
  <c r="AE62" i="335" l="1"/>
  <c r="AH62" i="335" l="1"/>
  <c r="AF62" i="335"/>
  <c r="AC68" i="335" l="1"/>
  <c r="AE68" i="335" l="1"/>
  <c r="AH68" i="335" l="1"/>
  <c r="AF68" i="335"/>
  <c r="AE70" i="335" l="1"/>
  <c r="AH70" i="335" l="1"/>
  <c r="AC71" i="335"/>
  <c r="AE71" i="335" l="1"/>
  <c r="AF71" i="335" l="1"/>
  <c r="AH71" i="335"/>
  <c r="AC72" i="335"/>
  <c r="AE72" i="335" l="1"/>
  <c r="AC73" i="335" s="1"/>
  <c r="AF73" i="335" l="1"/>
  <c r="AC74" i="335"/>
  <c r="AF74" i="335" s="1"/>
  <c r="AH72" i="335"/>
  <c r="AC76" i="335"/>
  <c r="AF72" i="335"/>
  <c r="AE76" i="335" l="1"/>
  <c r="AH76" i="335" l="1"/>
  <c r="AC77" i="335"/>
  <c r="AF76" i="335"/>
  <c r="AE77" i="335" l="1"/>
  <c r="AF77" i="335" l="1"/>
  <c r="AH77" i="335"/>
  <c r="AC78" i="335"/>
  <c r="AE78" i="335" l="1"/>
  <c r="AC79" i="335" s="1"/>
  <c r="AF79" i="335" s="1"/>
  <c r="AH78" i="335" l="1"/>
  <c r="AF78" i="335"/>
  <c r="R103" i="335" l="1" a="1"/>
  <c r="R103" i="335" l="1"/>
  <c r="AG142" i="335"/>
  <c r="AA119" i="335"/>
  <c r="Z115" i="335"/>
  <c r="AG173" i="335"/>
  <c r="AG157" i="335"/>
  <c r="AG141" i="335"/>
  <c r="AG125" i="335"/>
  <c r="AG109" i="335"/>
  <c r="AA166" i="335"/>
  <c r="AA150" i="335"/>
  <c r="AA134" i="335"/>
  <c r="AA118" i="335"/>
  <c r="Z114" i="335"/>
  <c r="AG172" i="335"/>
  <c r="AG156" i="335"/>
  <c r="AG140" i="335"/>
  <c r="AG124" i="335"/>
  <c r="AG108" i="335"/>
  <c r="AA165" i="335"/>
  <c r="AA149" i="335"/>
  <c r="AA133" i="335"/>
  <c r="AA117" i="335"/>
  <c r="Z113" i="335"/>
  <c r="AG171" i="335"/>
  <c r="AG155" i="335"/>
  <c r="AG139" i="335"/>
  <c r="AG123" i="335"/>
  <c r="AG107" i="335"/>
  <c r="AA164" i="335"/>
  <c r="AA148" i="335"/>
  <c r="AA132" i="335"/>
  <c r="AA116" i="335"/>
  <c r="Z112" i="335"/>
  <c r="AG170" i="335"/>
  <c r="AG154" i="335"/>
  <c r="AG138" i="335"/>
  <c r="AG122" i="335"/>
  <c r="AG106" i="335"/>
  <c r="AA163" i="335"/>
  <c r="AA147" i="335"/>
  <c r="AA131" i="335"/>
  <c r="AA115" i="335"/>
  <c r="Z111" i="335"/>
  <c r="AG169" i="335"/>
  <c r="AG153" i="335"/>
  <c r="AG137" i="335"/>
  <c r="AG121" i="335"/>
  <c r="AG105" i="335"/>
  <c r="AA162" i="335"/>
  <c r="AA146" i="335"/>
  <c r="AA130" i="335"/>
  <c r="AA114" i="335"/>
  <c r="Z110" i="335"/>
  <c r="AG168" i="335"/>
  <c r="AG152" i="335"/>
  <c r="AG136" i="335"/>
  <c r="AG120" i="335"/>
  <c r="AG104" i="335"/>
  <c r="AA161" i="335"/>
  <c r="AA145" i="335"/>
  <c r="AA129" i="335"/>
  <c r="AA113" i="335"/>
  <c r="Z118" i="335"/>
  <c r="Z109" i="335"/>
  <c r="AG167" i="335"/>
  <c r="AG151" i="335"/>
  <c r="AG135" i="335"/>
  <c r="AG119" i="335"/>
  <c r="AA176" i="335"/>
  <c r="AA160" i="335"/>
  <c r="AA144" i="335"/>
  <c r="AA128" i="335"/>
  <c r="AA112" i="335"/>
  <c r="Z108" i="335"/>
  <c r="AG166" i="335"/>
  <c r="AG150" i="335"/>
  <c r="AG134" i="335"/>
  <c r="AG118" i="335"/>
  <c r="AA175" i="335"/>
  <c r="AA159" i="335"/>
  <c r="AA143" i="335"/>
  <c r="AA127" i="335"/>
  <c r="AA111" i="335"/>
  <c r="Z107" i="335"/>
  <c r="AG165" i="335"/>
  <c r="AG149" i="335"/>
  <c r="AG133" i="335"/>
  <c r="AG117" i="335"/>
  <c r="AA174" i="335"/>
  <c r="AA158" i="335"/>
  <c r="AA142" i="335"/>
  <c r="AA126" i="335"/>
  <c r="AA110" i="335"/>
  <c r="Z106" i="335"/>
  <c r="AG164" i="335"/>
  <c r="AG148" i="335"/>
  <c r="AG132" i="335"/>
  <c r="AG116" i="335"/>
  <c r="AA173" i="335"/>
  <c r="AA157" i="335"/>
  <c r="AA141" i="335"/>
  <c r="AA125" i="335"/>
  <c r="AA109" i="335"/>
  <c r="Z105" i="335"/>
  <c r="AG163" i="335"/>
  <c r="AG147" i="335"/>
  <c r="AG131" i="335"/>
  <c r="AG115" i="335"/>
  <c r="AA172" i="335"/>
  <c r="AA156" i="335"/>
  <c r="AA140" i="335"/>
  <c r="AA124" i="335"/>
  <c r="AA108" i="335"/>
  <c r="Z104" i="335"/>
  <c r="AG162" i="335"/>
  <c r="AG146" i="335"/>
  <c r="AG130" i="335"/>
  <c r="AG114" i="335"/>
  <c r="AA171" i="335"/>
  <c r="AA155" i="335"/>
  <c r="AA139" i="335"/>
  <c r="AA123" i="335"/>
  <c r="AA107" i="335"/>
  <c r="AG176" i="335"/>
  <c r="AG160" i="335"/>
  <c r="AG144" i="335"/>
  <c r="AG128" i="335"/>
  <c r="AG112" i="335"/>
  <c r="AA169" i="335"/>
  <c r="AA153" i="335"/>
  <c r="AA137" i="335"/>
  <c r="AA121" i="335"/>
  <c r="AA105" i="335"/>
  <c r="AG175" i="335"/>
  <c r="AG159" i="335"/>
  <c r="AG143" i="335"/>
  <c r="AG127" i="335"/>
  <c r="AG111" i="335"/>
  <c r="AA168" i="335"/>
  <c r="AA152" i="335"/>
  <c r="AA136" i="335"/>
  <c r="AA120" i="335"/>
  <c r="AA104" i="335"/>
  <c r="Z116" i="335"/>
  <c r="AG174" i="335"/>
  <c r="AG158" i="335"/>
  <c r="AA135" i="335"/>
  <c r="AA151" i="335"/>
  <c r="AG126" i="335"/>
  <c r="Z119" i="335"/>
  <c r="AG161" i="335"/>
  <c r="AG145" i="335"/>
  <c r="AG129" i="335"/>
  <c r="AG113" i="335"/>
  <c r="AA170" i="335"/>
  <c r="AA154" i="335"/>
  <c r="AA138" i="335"/>
  <c r="AA122" i="335"/>
  <c r="AA106" i="335"/>
  <c r="Z117" i="335"/>
  <c r="AA167" i="335"/>
  <c r="AG110" i="335"/>
  <c r="AJ120" i="335"/>
  <c r="AJ119" i="335"/>
  <c r="AJ121" i="335"/>
  <c r="AJ122" i="335"/>
  <c r="AJ123" i="335"/>
  <c r="AJ124" i="335"/>
  <c r="AJ125" i="335"/>
  <c r="AJ126" i="335"/>
  <c r="AJ127" i="335"/>
  <c r="AJ129" i="335"/>
  <c r="AJ128" i="335"/>
  <c r="AJ131" i="335"/>
  <c r="AJ130" i="335"/>
  <c r="AE119" i="335"/>
  <c r="AJ132" i="335"/>
  <c r="AJ133" i="335"/>
  <c r="AH119" i="335"/>
  <c r="AJ134" i="335"/>
  <c r="AE120" i="335"/>
  <c r="AH120" i="335"/>
  <c r="AJ135" i="335"/>
  <c r="AE121" i="335"/>
  <c r="AH121" i="335"/>
  <c r="AJ136" i="335"/>
  <c r="AJ137" i="335"/>
  <c r="AJ138" i="335"/>
  <c r="AE122" i="335"/>
  <c r="AH122" i="335"/>
  <c r="AJ139" i="335"/>
  <c r="AJ140" i="335"/>
  <c r="AE123" i="335"/>
  <c r="AH123" i="335"/>
  <c r="AJ141" i="335"/>
  <c r="AJ143" i="335"/>
  <c r="AJ142" i="335"/>
  <c r="AE124" i="335"/>
  <c r="AH124" i="335"/>
  <c r="AE125" i="335"/>
  <c r="AJ144" i="335"/>
  <c r="AJ145" i="335"/>
  <c r="AH125" i="335"/>
  <c r="AE126" i="335"/>
  <c r="AH126" i="335"/>
  <c r="AJ147" i="335"/>
  <c r="AJ146" i="335"/>
  <c r="AE127" i="335"/>
  <c r="AH127" i="335"/>
  <c r="AE128" i="335"/>
  <c r="AH128" i="335"/>
  <c r="AJ148" i="335"/>
  <c r="AJ149" i="335"/>
  <c r="AJ150" i="335"/>
  <c r="AJ152" i="335"/>
  <c r="AE129" i="335"/>
  <c r="AJ151" i="335" l="1"/>
  <c r="AG178" i="335"/>
  <c r="N43" i="362" l="1"/>
  <c r="AH129" i="335"/>
  <c r="AJ155" i="335" l="1"/>
  <c r="AJ153" i="335"/>
  <c r="AE130" i="335"/>
  <c r="AJ154" i="335"/>
  <c r="AH130" i="335" l="1"/>
  <c r="AE131" i="335"/>
  <c r="AH131" i="335" l="1"/>
  <c r="AJ156" i="335"/>
  <c r="AE132" i="335" l="1"/>
  <c r="AJ157" i="335"/>
  <c r="AH132" i="335" l="1"/>
  <c r="AE133" i="335" l="1"/>
  <c r="AJ159" i="335"/>
  <c r="AJ158" i="335"/>
  <c r="AH133" i="335" l="1"/>
  <c r="AE134" i="335" l="1"/>
  <c r="AJ160" i="335"/>
  <c r="AJ161" i="335"/>
  <c r="AH134" i="335" l="1"/>
  <c r="AE135" i="335" l="1"/>
  <c r="AJ162" i="335"/>
  <c r="AJ163" i="335" l="1"/>
  <c r="AJ164" i="335"/>
  <c r="AH135" i="335"/>
  <c r="AE28" i="326" l="1"/>
  <c r="AH28" i="326" s="1"/>
  <c r="AJ28" i="326"/>
  <c r="AE136" i="335"/>
  <c r="AH136" i="335" l="1"/>
  <c r="AE137" i="335"/>
  <c r="AJ29" i="326"/>
  <c r="AJ165" i="335" l="1"/>
  <c r="AJ31" i="326"/>
  <c r="AJ30" i="326"/>
  <c r="AH137" i="335" l="1"/>
  <c r="AJ166" i="335"/>
  <c r="AE138" i="335" l="1"/>
  <c r="AE31" i="326"/>
  <c r="AH138" i="335" l="1"/>
  <c r="AJ173" i="335"/>
  <c r="AJ168" i="335"/>
  <c r="AJ172" i="335"/>
  <c r="AJ167" i="335"/>
  <c r="AE139" i="335"/>
  <c r="AH31" i="326"/>
  <c r="AH139" i="335" l="1"/>
  <c r="AE140" i="335" l="1"/>
  <c r="AJ175" i="335"/>
  <c r="AJ170" i="335"/>
  <c r="AJ174" i="335"/>
  <c r="AJ169" i="335"/>
  <c r="AJ176" i="335" l="1"/>
  <c r="AJ171" i="335"/>
  <c r="AH140" i="335"/>
  <c r="AE141" i="335" l="1"/>
  <c r="AH141" i="335" l="1"/>
  <c r="AE142" i="335" l="1"/>
  <c r="AH142" i="335" l="1"/>
  <c r="AE143" i="335" l="1"/>
  <c r="AH143" i="335" l="1"/>
  <c r="AE144" i="335" l="1"/>
  <c r="AH144" i="335" l="1"/>
  <c r="AE145" i="335" l="1"/>
  <c r="AH145" i="335" l="1"/>
  <c r="AE146" i="335" l="1"/>
  <c r="AH146" i="335" l="1"/>
  <c r="AE147" i="335"/>
  <c r="AH147" i="335" l="1"/>
  <c r="AE148" i="335" l="1"/>
  <c r="AH148" i="335" l="1"/>
  <c r="AE149" i="335" l="1"/>
  <c r="AH149" i="335" l="1"/>
  <c r="AE150" i="335"/>
  <c r="AH150" i="335" l="1"/>
  <c r="AE151" i="335" l="1"/>
  <c r="AH151" i="335" l="1"/>
  <c r="AE152" i="335" l="1"/>
  <c r="AH152" i="335" l="1"/>
  <c r="AE153" i="335" l="1"/>
  <c r="AH153" i="335" l="1"/>
  <c r="AE154" i="335" l="1"/>
  <c r="AH154" i="335" l="1"/>
  <c r="AE155" i="335" l="1"/>
  <c r="AH155" i="335" l="1"/>
  <c r="AE156" i="335" l="1"/>
  <c r="AH156" i="335" l="1"/>
  <c r="AE157" i="335" l="1"/>
  <c r="AH157" i="335" l="1"/>
  <c r="AE158" i="335"/>
  <c r="AH158" i="335" l="1"/>
  <c r="AE159" i="335" l="1"/>
  <c r="AH159" i="335" l="1"/>
  <c r="AE160" i="335" l="1"/>
  <c r="AH160" i="335" l="1"/>
  <c r="AE161" i="335" l="1"/>
  <c r="AH161" i="335" l="1"/>
  <c r="AE162" i="335" l="1"/>
  <c r="AH162" i="335" l="1"/>
  <c r="AE163" i="335" l="1"/>
  <c r="AH163" i="335" l="1"/>
  <c r="AE164" i="335"/>
  <c r="AH164" i="335" l="1"/>
  <c r="AE165" i="335" l="1"/>
  <c r="AH165" i="335" l="1"/>
  <c r="AE166" i="335" l="1"/>
  <c r="AH166" i="335" l="1"/>
  <c r="AE172" i="335" l="1"/>
  <c r="AE167" i="335"/>
  <c r="AH172" i="335" l="1"/>
  <c r="AH167" i="335"/>
  <c r="AE173" i="335" l="1"/>
  <c r="AE168" i="335"/>
  <c r="AH173" i="335" l="1"/>
  <c r="AH168" i="335"/>
  <c r="AE174" i="335" l="1"/>
  <c r="AE169" i="335"/>
  <c r="AH174" i="335" l="1"/>
  <c r="AH169" i="335"/>
  <c r="AE170" i="335"/>
  <c r="AE175" i="335" l="1"/>
  <c r="AH175" i="335" l="1"/>
  <c r="AH170" i="335"/>
  <c r="AE176" i="335" l="1"/>
  <c r="AE171" i="335"/>
  <c r="AH176" i="335" l="1"/>
  <c r="AH171" i="335"/>
  <c r="AL30" i="326" l="1"/>
  <c r="AO30" i="326" s="1"/>
  <c r="AM30" i="326"/>
  <c r="AM23" i="326"/>
  <c r="AL23" i="326"/>
  <c r="AO23" i="326" s="1"/>
  <c r="AM29" i="326"/>
  <c r="AL29" i="326"/>
  <c r="AO29" i="326" s="1"/>
  <c r="AM28" i="326"/>
  <c r="AL28" i="326"/>
  <c r="AO28" i="326" l="1"/>
  <c r="X46" i="326" l="1"/>
  <c r="D122" i="324" l="1"/>
  <c r="H30" i="324" l="1"/>
  <c r="H28" i="324"/>
  <c r="H298" i="324"/>
  <c r="H270" i="324" s="1"/>
  <c r="G298" i="324"/>
  <c r="G270" i="324" s="1"/>
  <c r="D298" i="324"/>
  <c r="H296" i="324"/>
  <c r="H177" i="324" s="1"/>
  <c r="G296" i="324"/>
  <c r="G177" i="324" s="1"/>
  <c r="D296" i="324"/>
  <c r="H294" i="324"/>
  <c r="H169" i="324" s="1"/>
  <c r="G294" i="324"/>
  <c r="G169" i="324" s="1"/>
  <c r="D294" i="324"/>
  <c r="H292" i="324"/>
  <c r="G292" i="324"/>
  <c r="G87" i="324" s="1"/>
  <c r="D292" i="324"/>
  <c r="H290" i="324"/>
  <c r="H107" i="324" s="1"/>
  <c r="G290" i="324"/>
  <c r="G107" i="324" s="1"/>
  <c r="D290" i="324"/>
  <c r="H287" i="324"/>
  <c r="G287" i="324"/>
  <c r="D287" i="324"/>
  <c r="H286" i="324"/>
  <c r="G286" i="324"/>
  <c r="D286" i="324"/>
  <c r="H284" i="324"/>
  <c r="H83" i="324" s="1"/>
  <c r="G284" i="324"/>
  <c r="G83" i="324" s="1"/>
  <c r="D284" i="324"/>
  <c r="H280" i="324"/>
  <c r="G280" i="324"/>
  <c r="H279" i="324"/>
  <c r="G272" i="324"/>
  <c r="D272" i="324"/>
  <c r="H272" i="324" s="1"/>
  <c r="H268" i="324"/>
  <c r="D268" i="324"/>
  <c r="H267" i="324"/>
  <c r="G267" i="324"/>
  <c r="D267" i="324"/>
  <c r="H266" i="324"/>
  <c r="G266" i="324"/>
  <c r="D266" i="324"/>
  <c r="H265" i="324"/>
  <c r="G265" i="324"/>
  <c r="D265" i="324"/>
  <c r="G261" i="324"/>
  <c r="H261" i="324" s="1"/>
  <c r="H260" i="324"/>
  <c r="H258" i="324"/>
  <c r="H252" i="324"/>
  <c r="G252" i="324"/>
  <c r="D252" i="324"/>
  <c r="H251" i="324"/>
  <c r="G251" i="324"/>
  <c r="D251" i="324"/>
  <c r="H249" i="324"/>
  <c r="G249" i="324"/>
  <c r="D249" i="324"/>
  <c r="H246" i="324"/>
  <c r="D246" i="324"/>
  <c r="H245" i="324"/>
  <c r="G245" i="324"/>
  <c r="D245" i="324"/>
  <c r="H244" i="324"/>
  <c r="D244" i="324"/>
  <c r="H241" i="324"/>
  <c r="G241" i="324"/>
  <c r="D241" i="324"/>
  <c r="H240" i="324"/>
  <c r="G240" i="324"/>
  <c r="D240" i="324"/>
  <c r="H237" i="324"/>
  <c r="G237" i="324"/>
  <c r="D237" i="324"/>
  <c r="H236" i="324"/>
  <c r="G236" i="324"/>
  <c r="D236" i="324"/>
  <c r="H233" i="324"/>
  <c r="G233" i="324"/>
  <c r="D233" i="324"/>
  <c r="H232" i="324"/>
  <c r="G232" i="324"/>
  <c r="D232" i="324"/>
  <c r="H231" i="324"/>
  <c r="G231" i="324"/>
  <c r="D231" i="324"/>
  <c r="H228" i="324"/>
  <c r="G228" i="324"/>
  <c r="D228" i="324"/>
  <c r="H227" i="324"/>
  <c r="G227" i="324"/>
  <c r="D227" i="324"/>
  <c r="H226" i="324"/>
  <c r="G226" i="324"/>
  <c r="D226" i="324"/>
  <c r="H223" i="324"/>
  <c r="G223" i="324"/>
  <c r="D223" i="324"/>
  <c r="H222" i="324"/>
  <c r="G222" i="324"/>
  <c r="D222" i="324"/>
  <c r="H221" i="324"/>
  <c r="G221" i="324"/>
  <c r="D221" i="324"/>
  <c r="H220" i="324"/>
  <c r="G220" i="324"/>
  <c r="D220" i="324"/>
  <c r="H219" i="324"/>
  <c r="G219" i="324"/>
  <c r="D219" i="324"/>
  <c r="H216" i="324"/>
  <c r="G216" i="324"/>
  <c r="D216" i="324"/>
  <c r="H215" i="324"/>
  <c r="G215" i="324"/>
  <c r="D215" i="324"/>
  <c r="H214" i="324"/>
  <c r="G214" i="324"/>
  <c r="D214" i="324"/>
  <c r="H213" i="324"/>
  <c r="G213" i="324"/>
  <c r="D213" i="324"/>
  <c r="H212" i="324"/>
  <c r="G212" i="324"/>
  <c r="D212" i="324"/>
  <c r="H211" i="324"/>
  <c r="G211" i="324"/>
  <c r="D211" i="324"/>
  <c r="H208" i="324"/>
  <c r="G208" i="324"/>
  <c r="D208" i="324"/>
  <c r="G204" i="324"/>
  <c r="H204" i="324" s="1"/>
  <c r="H203" i="324"/>
  <c r="H201" i="324"/>
  <c r="H195" i="324"/>
  <c r="G195" i="324"/>
  <c r="D195" i="324"/>
  <c r="H193" i="324"/>
  <c r="G193" i="324"/>
  <c r="D193" i="324"/>
  <c r="H192" i="324"/>
  <c r="G192" i="324"/>
  <c r="D192" i="324"/>
  <c r="H191" i="324"/>
  <c r="D191" i="324"/>
  <c r="G186" i="324"/>
  <c r="H186" i="324" s="1"/>
  <c r="H185" i="324"/>
  <c r="H183" i="324"/>
  <c r="G179" i="324"/>
  <c r="D179" i="324"/>
  <c r="H179" i="324" s="1"/>
  <c r="D177" i="324"/>
  <c r="D176" i="324"/>
  <c r="G172" i="324"/>
  <c r="D172" i="324"/>
  <c r="H172" i="324" s="1"/>
  <c r="G159" i="324"/>
  <c r="H159" i="324" s="1"/>
  <c r="H158" i="324"/>
  <c r="H156" i="324"/>
  <c r="E143" i="324"/>
  <c r="D143" i="324"/>
  <c r="H142" i="324"/>
  <c r="F142" i="324"/>
  <c r="E142" i="324"/>
  <c r="D142" i="324"/>
  <c r="E141" i="324"/>
  <c r="D141" i="324"/>
  <c r="H140" i="324"/>
  <c r="F140" i="324"/>
  <c r="E140" i="324"/>
  <c r="D140" i="324"/>
  <c r="H139" i="324"/>
  <c r="F139" i="324"/>
  <c r="E139" i="324"/>
  <c r="D139" i="324"/>
  <c r="H137" i="324"/>
  <c r="E137" i="324"/>
  <c r="D137" i="324"/>
  <c r="F137" i="324" s="1"/>
  <c r="G133" i="324"/>
  <c r="H133" i="324" s="1"/>
  <c r="H132" i="324"/>
  <c r="H130" i="324"/>
  <c r="B124" i="324"/>
  <c r="G121" i="324"/>
  <c r="D121" i="324"/>
  <c r="H121" i="324" s="1"/>
  <c r="H120" i="324"/>
  <c r="G120" i="324"/>
  <c r="D120" i="324"/>
  <c r="H109" i="324"/>
  <c r="G109" i="324"/>
  <c r="D109" i="324"/>
  <c r="D107" i="324"/>
  <c r="D106" i="324"/>
  <c r="H105" i="324"/>
  <c r="G105" i="324"/>
  <c r="D105" i="324"/>
  <c r="D104" i="324"/>
  <c r="B94" i="324"/>
  <c r="G85" i="324"/>
  <c r="D85" i="324"/>
  <c r="G84" i="324"/>
  <c r="D84" i="324"/>
  <c r="D83" i="324"/>
  <c r="G78" i="324"/>
  <c r="H78" i="324" s="1"/>
  <c r="H77" i="324"/>
  <c r="H75" i="324"/>
  <c r="H70" i="324"/>
  <c r="B69" i="324"/>
  <c r="D68" i="324"/>
  <c r="H64" i="324"/>
  <c r="G64" i="324"/>
  <c r="D64" i="324"/>
  <c r="H61" i="324"/>
  <c r="G61" i="324"/>
  <c r="D61" i="324"/>
  <c r="B42" i="324"/>
  <c r="H35" i="324"/>
  <c r="H43" i="324" s="1"/>
  <c r="H45" i="324" s="1"/>
  <c r="G35" i="324"/>
  <c r="G43" i="324" s="1"/>
  <c r="G45" i="324" s="1"/>
  <c r="D35" i="324"/>
  <c r="B33" i="324"/>
  <c r="G31" i="324"/>
  <c r="H31" i="324" s="1"/>
  <c r="G25" i="324"/>
  <c r="H12" i="324"/>
  <c r="H10" i="324"/>
  <c r="H8" i="324"/>
  <c r="H7" i="324"/>
  <c r="N106" i="192"/>
  <c r="M106" i="192"/>
  <c r="L106" i="192"/>
  <c r="K106" i="192"/>
  <c r="J106" i="192"/>
  <c r="N77" i="192"/>
  <c r="M77" i="192"/>
  <c r="L77" i="192"/>
  <c r="J77" i="192"/>
  <c r="N76" i="192"/>
  <c r="M76" i="192"/>
  <c r="L76" i="192"/>
  <c r="K76" i="192"/>
  <c r="J76" i="192"/>
  <c r="N94" i="192"/>
  <c r="N95" i="192"/>
  <c r="M95" i="192"/>
  <c r="L95" i="192"/>
  <c r="K95" i="192"/>
  <c r="J95" i="192"/>
  <c r="H125" i="192"/>
  <c r="H127" i="192"/>
  <c r="G125" i="192"/>
  <c r="N124" i="192"/>
  <c r="M124" i="192"/>
  <c r="L124" i="192"/>
  <c r="K124" i="192"/>
  <c r="J124" i="192"/>
  <c r="N125" i="192"/>
  <c r="M125" i="192"/>
  <c r="L125" i="192"/>
  <c r="K125" i="192"/>
  <c r="J127" i="192"/>
  <c r="J125" i="192"/>
  <c r="N107" i="192"/>
  <c r="M107" i="192"/>
  <c r="K107" i="192"/>
  <c r="I107" i="192"/>
  <c r="I106" i="192"/>
  <c r="N99" i="192"/>
  <c r="M99" i="192"/>
  <c r="L99" i="192"/>
  <c r="K99" i="192"/>
  <c r="J99" i="192"/>
  <c r="I99" i="192"/>
  <c r="N158" i="192"/>
  <c r="M158" i="192"/>
  <c r="L158" i="192"/>
  <c r="K158" i="192"/>
  <c r="N165" i="192"/>
  <c r="M165" i="192"/>
  <c r="L165" i="192"/>
  <c r="K165" i="192"/>
  <c r="N181" i="192"/>
  <c r="M181" i="192"/>
  <c r="L181" i="192"/>
  <c r="K181" i="192"/>
  <c r="J181" i="192"/>
  <c r="N179" i="192"/>
  <c r="M179" i="192"/>
  <c r="L179" i="192"/>
  <c r="K179" i="192"/>
  <c r="J179" i="192"/>
  <c r="N178" i="192"/>
  <c r="M178" i="192"/>
  <c r="L178" i="192"/>
  <c r="K178" i="192"/>
  <c r="J178" i="192"/>
  <c r="N177" i="192"/>
  <c r="M177" i="192"/>
  <c r="L177" i="192"/>
  <c r="K177" i="192"/>
  <c r="J177" i="192"/>
  <c r="I181" i="192"/>
  <c r="I179" i="192"/>
  <c r="I178" i="192"/>
  <c r="I177" i="192"/>
  <c r="N292" i="192"/>
  <c r="M292" i="192"/>
  <c r="L292" i="192"/>
  <c r="K292" i="192"/>
  <c r="J292" i="192"/>
  <c r="I292" i="192"/>
  <c r="N290" i="192"/>
  <c r="N156" i="192" s="1"/>
  <c r="M290" i="192"/>
  <c r="M156" i="192" s="1"/>
  <c r="L290" i="192"/>
  <c r="L156" i="192" s="1"/>
  <c r="K290" i="192"/>
  <c r="K156" i="192" s="1"/>
  <c r="J290" i="192"/>
  <c r="J156" i="192" s="1"/>
  <c r="I290" i="192"/>
  <c r="N288" i="192"/>
  <c r="N162" i="192" s="1"/>
  <c r="M288" i="192"/>
  <c r="M155" i="192" s="1"/>
  <c r="L288" i="192"/>
  <c r="L155" i="192" s="1"/>
  <c r="K288" i="192"/>
  <c r="K155" i="192" s="1"/>
  <c r="I288" i="192"/>
  <c r="I155" i="192" s="1"/>
  <c r="J288" i="192"/>
  <c r="J162" i="192" s="1"/>
  <c r="J281" i="192"/>
  <c r="I281" i="192"/>
  <c r="N280" i="192"/>
  <c r="M280" i="192"/>
  <c r="L280" i="192"/>
  <c r="K280" i="192"/>
  <c r="I280" i="192"/>
  <c r="J280" i="192"/>
  <c r="I284" i="192"/>
  <c r="I286" i="192"/>
  <c r="N286" i="192"/>
  <c r="N96" i="192" s="1"/>
  <c r="M286" i="192"/>
  <c r="M96" i="192" s="1"/>
  <c r="L286" i="192"/>
  <c r="L96" i="192" s="1"/>
  <c r="K286" i="192"/>
  <c r="K96" i="192" s="1"/>
  <c r="J286" i="192"/>
  <c r="N284" i="192"/>
  <c r="N97" i="192" s="1"/>
  <c r="M284" i="192"/>
  <c r="M97" i="192" s="1"/>
  <c r="L284" i="192"/>
  <c r="L97" i="192" s="1"/>
  <c r="K284" i="192"/>
  <c r="K97" i="192" s="1"/>
  <c r="J284" i="192"/>
  <c r="N281" i="192"/>
  <c r="M281" i="192"/>
  <c r="L281" i="192"/>
  <c r="K281" i="192"/>
  <c r="N278" i="192"/>
  <c r="N93" i="192" s="1"/>
  <c r="M278" i="192"/>
  <c r="M93" i="192" s="1"/>
  <c r="L278" i="192"/>
  <c r="L93" i="192" s="1"/>
  <c r="K278" i="192"/>
  <c r="K93" i="192" s="1"/>
  <c r="J278" i="192"/>
  <c r="E19" i="323"/>
  <c r="E20" i="323" l="1"/>
  <c r="B244" i="324"/>
  <c r="B228" i="324"/>
  <c r="B265" i="324"/>
  <c r="B120" i="324"/>
  <c r="B105" i="324"/>
  <c r="G142" i="324"/>
  <c r="B142" i="324" s="1"/>
  <c r="B177" i="324"/>
  <c r="B220" i="324"/>
  <c r="B270" i="324"/>
  <c r="B268" i="324"/>
  <c r="G176" i="324"/>
  <c r="G178" i="324" s="1"/>
  <c r="G180" i="324" s="1"/>
  <c r="G114" i="324" s="1"/>
  <c r="B267" i="324"/>
  <c r="B85" i="324"/>
  <c r="B208" i="324"/>
  <c r="B84" i="324"/>
  <c r="B266" i="324"/>
  <c r="B104" i="324"/>
  <c r="B195" i="324"/>
  <c r="B219" i="324"/>
  <c r="B249" i="324"/>
  <c r="B240" i="324"/>
  <c r="B192" i="324"/>
  <c r="B215" i="324"/>
  <c r="B70" i="324"/>
  <c r="B232" i="324"/>
  <c r="B236" i="324"/>
  <c r="B213" i="324"/>
  <c r="H176" i="324"/>
  <c r="B233" i="324"/>
  <c r="B272" i="324"/>
  <c r="B226" i="324"/>
  <c r="B64" i="324"/>
  <c r="B246" i="324"/>
  <c r="G141" i="324"/>
  <c r="B141" i="324" s="1"/>
  <c r="B214" i="324"/>
  <c r="B252" i="324"/>
  <c r="B193" i="324"/>
  <c r="B83" i="324"/>
  <c r="G140" i="324"/>
  <c r="B140" i="324" s="1"/>
  <c r="B222" i="324"/>
  <c r="H144" i="324"/>
  <c r="H93" i="324" s="1"/>
  <c r="H103" i="324"/>
  <c r="G170" i="324"/>
  <c r="G106" i="324"/>
  <c r="H170" i="324"/>
  <c r="H171" i="324" s="1"/>
  <c r="H173" i="324" s="1"/>
  <c r="H95" i="324" s="1"/>
  <c r="B216" i="324"/>
  <c r="G139" i="324"/>
  <c r="B139" i="324" s="1"/>
  <c r="B172" i="324"/>
  <c r="B227" i="324"/>
  <c r="H247" i="324"/>
  <c r="G103" i="324"/>
  <c r="B212" i="324"/>
  <c r="B241" i="324"/>
  <c r="G247" i="324"/>
  <c r="B179" i="324"/>
  <c r="B211" i="324"/>
  <c r="B35" i="324"/>
  <c r="B251" i="324"/>
  <c r="H217" i="324"/>
  <c r="H194" i="324"/>
  <c r="H196" i="324" s="1"/>
  <c r="H112" i="324" s="1"/>
  <c r="H253" i="324"/>
  <c r="B221" i="324"/>
  <c r="B223" i="324"/>
  <c r="B237" i="324"/>
  <c r="G288" i="324"/>
  <c r="H229" i="324"/>
  <c r="H288" i="324"/>
  <c r="G143" i="324"/>
  <c r="B143" i="324" s="1"/>
  <c r="H234" i="324"/>
  <c r="G269" i="324"/>
  <c r="B191" i="324"/>
  <c r="H269" i="324"/>
  <c r="H271" i="324" s="1"/>
  <c r="H273" i="324" s="1"/>
  <c r="F144" i="324"/>
  <c r="G234" i="324"/>
  <c r="B231" i="324"/>
  <c r="H87" i="324"/>
  <c r="B87" i="324" s="1"/>
  <c r="H106" i="324"/>
  <c r="G88" i="324"/>
  <c r="G48" i="324"/>
  <c r="H48" i="324"/>
  <c r="B121" i="324"/>
  <c r="G242" i="324"/>
  <c r="G224" i="324"/>
  <c r="B32" i="324"/>
  <c r="G194" i="324"/>
  <c r="G196" i="324" s="1"/>
  <c r="G112" i="324" s="1"/>
  <c r="H242" i="324"/>
  <c r="G253" i="324"/>
  <c r="G137" i="324"/>
  <c r="B137" i="324" s="1"/>
  <c r="H224" i="324"/>
  <c r="H88" i="324"/>
  <c r="E144" i="324"/>
  <c r="G229" i="324"/>
  <c r="B245" i="324"/>
  <c r="G217" i="324"/>
  <c r="B169" i="324"/>
  <c r="M163" i="192"/>
  <c r="M180" i="192"/>
  <c r="M182" i="192" s="1"/>
  <c r="M101" i="192" s="1"/>
  <c r="L180" i="192"/>
  <c r="L182" i="192" s="1"/>
  <c r="L101" i="192" s="1"/>
  <c r="J180" i="192"/>
  <c r="J182" i="192" s="1"/>
  <c r="L163" i="192"/>
  <c r="K180" i="192"/>
  <c r="K182" i="192" s="1"/>
  <c r="K101" i="192" s="1"/>
  <c r="M131" i="192"/>
  <c r="M85" i="192" s="1"/>
  <c r="N131" i="192"/>
  <c r="N85" i="192" s="1"/>
  <c r="K131" i="192"/>
  <c r="K85" i="192" s="1"/>
  <c r="K282" i="192"/>
  <c r="L131" i="192"/>
  <c r="L85" i="192" s="1"/>
  <c r="M162" i="192"/>
  <c r="K163" i="192"/>
  <c r="N155" i="192"/>
  <c r="N157" i="192" s="1"/>
  <c r="N159" i="192" s="1"/>
  <c r="N87" i="192" s="1"/>
  <c r="N163" i="192"/>
  <c r="N164" i="192" s="1"/>
  <c r="N166" i="192" s="1"/>
  <c r="N102" i="192" s="1"/>
  <c r="N180" i="192"/>
  <c r="N182" i="192" s="1"/>
  <c r="N101" i="192" s="1"/>
  <c r="K162" i="192"/>
  <c r="L162" i="192"/>
  <c r="K157" i="192"/>
  <c r="K159" i="192" s="1"/>
  <c r="K87" i="192" s="1"/>
  <c r="L157" i="192"/>
  <c r="L159" i="192" s="1"/>
  <c r="L87" i="192" s="1"/>
  <c r="M157" i="192"/>
  <c r="M159" i="192" s="1"/>
  <c r="M87" i="192" s="1"/>
  <c r="J155" i="192"/>
  <c r="J157" i="192" s="1"/>
  <c r="J163" i="192"/>
  <c r="J164" i="192" s="1"/>
  <c r="N282" i="192"/>
  <c r="C11" i="323"/>
  <c r="J9" i="323"/>
  <c r="K9" i="323" s="1"/>
  <c r="I6" i="323"/>
  <c r="I4" i="323"/>
  <c r="E21" i="323" l="1"/>
  <c r="B88" i="324"/>
  <c r="B176" i="324"/>
  <c r="M164" i="192"/>
  <c r="M166" i="192" s="1"/>
  <c r="M102" i="192" s="1"/>
  <c r="B43" i="324"/>
  <c r="B247" i="324"/>
  <c r="G271" i="324"/>
  <c r="G273" i="324" s="1"/>
  <c r="B269" i="324"/>
  <c r="H178" i="324"/>
  <c r="H180" i="324" s="1"/>
  <c r="H114" i="324" s="1"/>
  <c r="G171" i="324"/>
  <c r="G173" i="324" s="1"/>
  <c r="G95" i="324" s="1"/>
  <c r="B95" i="324" s="1"/>
  <c r="B170" i="324"/>
  <c r="B106" i="324"/>
  <c r="G144" i="324"/>
  <c r="G54" i="324"/>
  <c r="H55" i="324"/>
  <c r="H54" i="324"/>
  <c r="H51" i="324"/>
  <c r="G165" i="324"/>
  <c r="G163" i="324"/>
  <c r="G89" i="324" s="1"/>
  <c r="G91" i="324" s="1"/>
  <c r="G255" i="324"/>
  <c r="H52" i="324"/>
  <c r="H165" i="324"/>
  <c r="H163" i="324"/>
  <c r="H89" i="324" s="1"/>
  <c r="H91" i="324" s="1"/>
  <c r="H98" i="324" s="1"/>
  <c r="H302" i="324" s="1"/>
  <c r="H49" i="324"/>
  <c r="H53" i="324"/>
  <c r="G55" i="324"/>
  <c r="B253" i="324"/>
  <c r="B229" i="324"/>
  <c r="G51" i="324"/>
  <c r="B242" i="324"/>
  <c r="G53" i="324"/>
  <c r="H255" i="324"/>
  <c r="B48" i="324"/>
  <c r="G52" i="324"/>
  <c r="B234" i="324"/>
  <c r="B217" i="324"/>
  <c r="G49" i="324"/>
  <c r="H60" i="324"/>
  <c r="H50" i="324"/>
  <c r="G50" i="324"/>
  <c r="B224" i="324"/>
  <c r="L164" i="192"/>
  <c r="L166" i="192" s="1"/>
  <c r="L102" i="192" s="1"/>
  <c r="K151" i="192"/>
  <c r="K149" i="192"/>
  <c r="K164" i="192"/>
  <c r="K166" i="192" s="1"/>
  <c r="K102" i="192" s="1"/>
  <c r="N151" i="192"/>
  <c r="N98" i="192" s="1"/>
  <c r="N100" i="192" s="1"/>
  <c r="N103" i="192" s="1"/>
  <c r="N149" i="192"/>
  <c r="D181" i="192"/>
  <c r="D179" i="192"/>
  <c r="D178" i="192"/>
  <c r="D177" i="192"/>
  <c r="D165" i="192"/>
  <c r="J165" i="192" s="1"/>
  <c r="J166" i="192" s="1"/>
  <c r="J102" i="192" s="1"/>
  <c r="D163" i="192"/>
  <c r="D162" i="192"/>
  <c r="D158" i="192"/>
  <c r="J158" i="192" s="1"/>
  <c r="J159" i="192" s="1"/>
  <c r="D156" i="192"/>
  <c r="D155" i="192"/>
  <c r="D106" i="192"/>
  <c r="D99" i="192"/>
  <c r="D97" i="192"/>
  <c r="D96" i="192"/>
  <c r="I95" i="192"/>
  <c r="D95" i="192"/>
  <c r="H137" i="192"/>
  <c r="H136" i="192"/>
  <c r="H135" i="192"/>
  <c r="H134" i="192"/>
  <c r="H133" i="192"/>
  <c r="G128" i="192"/>
  <c r="G127" i="192"/>
  <c r="G126" i="192"/>
  <c r="G124" i="192"/>
  <c r="D137" i="192"/>
  <c r="D136" i="192"/>
  <c r="D135" i="192"/>
  <c r="D133" i="192"/>
  <c r="D128" i="192"/>
  <c r="D127" i="192"/>
  <c r="D126" i="192"/>
  <c r="D125" i="192"/>
  <c r="D124" i="192"/>
  <c r="H124" i="192" s="1"/>
  <c r="I278" i="192"/>
  <c r="N266" i="192"/>
  <c r="M266" i="192"/>
  <c r="L266" i="192"/>
  <c r="K266" i="192"/>
  <c r="I266" i="192"/>
  <c r="N262" i="192"/>
  <c r="M262" i="192"/>
  <c r="L262" i="192"/>
  <c r="K262" i="192"/>
  <c r="J262" i="192"/>
  <c r="N261" i="192"/>
  <c r="M261" i="192"/>
  <c r="L261" i="192"/>
  <c r="K261" i="192"/>
  <c r="J261" i="192"/>
  <c r="I261" i="192"/>
  <c r="N260" i="192"/>
  <c r="M260" i="192"/>
  <c r="L260" i="192"/>
  <c r="K260" i="192"/>
  <c r="J260" i="192"/>
  <c r="I260" i="192"/>
  <c r="N259" i="192"/>
  <c r="M259" i="192"/>
  <c r="L259" i="192"/>
  <c r="K259" i="192"/>
  <c r="J259" i="192"/>
  <c r="I259" i="192"/>
  <c r="N246" i="192"/>
  <c r="M246" i="192"/>
  <c r="L246" i="192"/>
  <c r="K246" i="192"/>
  <c r="J246" i="192"/>
  <c r="I246" i="192"/>
  <c r="N245" i="192"/>
  <c r="M245" i="192"/>
  <c r="L245" i="192"/>
  <c r="K245" i="192"/>
  <c r="J245" i="192"/>
  <c r="I245" i="192"/>
  <c r="N243" i="192"/>
  <c r="M243" i="192"/>
  <c r="L243" i="192"/>
  <c r="K243" i="192"/>
  <c r="J243" i="192"/>
  <c r="I243" i="192"/>
  <c r="N240" i="192"/>
  <c r="M240" i="192"/>
  <c r="L240" i="192"/>
  <c r="K240" i="192"/>
  <c r="J240" i="192"/>
  <c r="I240" i="192"/>
  <c r="N239" i="192"/>
  <c r="M239" i="192"/>
  <c r="L239" i="192"/>
  <c r="K239" i="192"/>
  <c r="J239" i="192"/>
  <c r="I239" i="192"/>
  <c r="N229" i="192"/>
  <c r="M229" i="192"/>
  <c r="L229" i="192"/>
  <c r="K229" i="192"/>
  <c r="J229" i="192"/>
  <c r="I229" i="192"/>
  <c r="N226" i="192"/>
  <c r="M226" i="192"/>
  <c r="L226" i="192"/>
  <c r="K226" i="192"/>
  <c r="J226" i="192"/>
  <c r="I226" i="192"/>
  <c r="N225" i="192"/>
  <c r="M225" i="192"/>
  <c r="L225" i="192"/>
  <c r="K225" i="192"/>
  <c r="J225" i="192"/>
  <c r="I225" i="192"/>
  <c r="N224" i="192"/>
  <c r="M224" i="192"/>
  <c r="L224" i="192"/>
  <c r="K224" i="192"/>
  <c r="J224" i="192"/>
  <c r="I224" i="192"/>
  <c r="N221" i="192"/>
  <c r="M221" i="192"/>
  <c r="L221" i="192"/>
  <c r="K221" i="192"/>
  <c r="J221" i="192"/>
  <c r="I221" i="192"/>
  <c r="N220" i="192"/>
  <c r="M220" i="192"/>
  <c r="L220" i="192"/>
  <c r="K220" i="192"/>
  <c r="J220" i="192"/>
  <c r="I220" i="192"/>
  <c r="N219" i="192"/>
  <c r="M219" i="192"/>
  <c r="L219" i="192"/>
  <c r="K219" i="192"/>
  <c r="J219" i="192"/>
  <c r="I219" i="192"/>
  <c r="N218" i="192"/>
  <c r="M218" i="192"/>
  <c r="L218" i="192"/>
  <c r="K218" i="192"/>
  <c r="J218" i="192"/>
  <c r="I218" i="192"/>
  <c r="N215" i="192"/>
  <c r="M215" i="192"/>
  <c r="L215" i="192"/>
  <c r="K215" i="192"/>
  <c r="J215" i="192"/>
  <c r="I215" i="192"/>
  <c r="N214" i="192"/>
  <c r="M214" i="192"/>
  <c r="L214" i="192"/>
  <c r="K214" i="192"/>
  <c r="J214" i="192"/>
  <c r="I214" i="192"/>
  <c r="N213" i="192"/>
  <c r="M213" i="192"/>
  <c r="L213" i="192"/>
  <c r="K213" i="192"/>
  <c r="J213" i="192"/>
  <c r="I213" i="192"/>
  <c r="N210" i="192"/>
  <c r="M210" i="192"/>
  <c r="L210" i="192"/>
  <c r="K210" i="192"/>
  <c r="J210" i="192"/>
  <c r="I210" i="192"/>
  <c r="N209" i="192"/>
  <c r="M209" i="192"/>
  <c r="L209" i="192"/>
  <c r="K209" i="192"/>
  <c r="J209" i="192"/>
  <c r="I209" i="192"/>
  <c r="N208" i="192"/>
  <c r="M208" i="192"/>
  <c r="L208" i="192"/>
  <c r="K208" i="192"/>
  <c r="J208" i="192"/>
  <c r="I208" i="192"/>
  <c r="N207" i="192"/>
  <c r="M207" i="192"/>
  <c r="L207" i="192"/>
  <c r="K207" i="192"/>
  <c r="J207" i="192"/>
  <c r="I207" i="192"/>
  <c r="N206" i="192"/>
  <c r="M206" i="192"/>
  <c r="L206" i="192"/>
  <c r="K206" i="192"/>
  <c r="J206" i="192"/>
  <c r="I206" i="192"/>
  <c r="N203" i="192"/>
  <c r="M203" i="192"/>
  <c r="L203" i="192"/>
  <c r="K203" i="192"/>
  <c r="J203" i="192"/>
  <c r="I203" i="192"/>
  <c r="N202" i="192"/>
  <c r="M202" i="192"/>
  <c r="L202" i="192"/>
  <c r="K202" i="192"/>
  <c r="J202" i="192"/>
  <c r="I202" i="192"/>
  <c r="N201" i="192"/>
  <c r="M201" i="192"/>
  <c r="L201" i="192"/>
  <c r="K201" i="192"/>
  <c r="J201" i="192"/>
  <c r="I201" i="192"/>
  <c r="N200" i="192"/>
  <c r="M200" i="192"/>
  <c r="L200" i="192"/>
  <c r="K200" i="192"/>
  <c r="J200" i="192"/>
  <c r="I200" i="192"/>
  <c r="N199" i="192"/>
  <c r="M199" i="192"/>
  <c r="L199" i="192"/>
  <c r="K199" i="192"/>
  <c r="J199" i="192"/>
  <c r="I199" i="192"/>
  <c r="N198" i="192"/>
  <c r="M198" i="192"/>
  <c r="L198" i="192"/>
  <c r="K198" i="192"/>
  <c r="J198" i="192"/>
  <c r="I198" i="192"/>
  <c r="N194" i="192"/>
  <c r="M194" i="192"/>
  <c r="L194" i="192"/>
  <c r="K194" i="192"/>
  <c r="J194" i="192"/>
  <c r="I194" i="192"/>
  <c r="D292" i="192"/>
  <c r="D290" i="192"/>
  <c r="D288" i="192"/>
  <c r="D286" i="192"/>
  <c r="D284" i="192"/>
  <c r="D281" i="192"/>
  <c r="D280" i="192"/>
  <c r="D278" i="192"/>
  <c r="D266" i="192"/>
  <c r="J266" i="192" s="1"/>
  <c r="D262" i="192"/>
  <c r="D261" i="192"/>
  <c r="D260" i="192"/>
  <c r="D259" i="192"/>
  <c r="D246" i="192"/>
  <c r="D245" i="192"/>
  <c r="D243" i="192"/>
  <c r="D240" i="192"/>
  <c r="D239" i="192"/>
  <c r="D229" i="192"/>
  <c r="D226" i="192"/>
  <c r="D225" i="192"/>
  <c r="D224" i="192"/>
  <c r="D221" i="192"/>
  <c r="D220" i="192"/>
  <c r="D219" i="192"/>
  <c r="D218" i="192"/>
  <c r="D215" i="192"/>
  <c r="D214" i="192"/>
  <c r="D213" i="192"/>
  <c r="D210" i="192"/>
  <c r="D209" i="192"/>
  <c r="D208" i="192"/>
  <c r="D207" i="192"/>
  <c r="D206" i="192"/>
  <c r="D203" i="192"/>
  <c r="D202" i="192"/>
  <c r="D201" i="192"/>
  <c r="D200" i="192"/>
  <c r="D199" i="192"/>
  <c r="D198" i="192"/>
  <c r="D194" i="192"/>
  <c r="D94" i="192"/>
  <c r="I77" i="192"/>
  <c r="D77" i="192"/>
  <c r="I76" i="192"/>
  <c r="D76" i="192"/>
  <c r="D75" i="192"/>
  <c r="N63" i="192"/>
  <c r="D63" i="192"/>
  <c r="N60" i="192"/>
  <c r="M60" i="192"/>
  <c r="L60" i="192"/>
  <c r="K60" i="192"/>
  <c r="J60" i="192"/>
  <c r="I60" i="192"/>
  <c r="D60" i="192"/>
  <c r="N57" i="192"/>
  <c r="M57" i="192"/>
  <c r="L57" i="192"/>
  <c r="K57" i="192"/>
  <c r="J57" i="192"/>
  <c r="I57" i="192"/>
  <c r="D57" i="192"/>
  <c r="M32" i="192"/>
  <c r="M39" i="192" s="1"/>
  <c r="M41" i="192" s="1"/>
  <c r="L32" i="192"/>
  <c r="L39" i="192" s="1"/>
  <c r="L41" i="192" s="1"/>
  <c r="K32" i="192"/>
  <c r="K39" i="192" s="1"/>
  <c r="K41" i="192" s="1"/>
  <c r="J32" i="192"/>
  <c r="J39" i="192" s="1"/>
  <c r="J41" i="192" s="1"/>
  <c r="I32" i="192"/>
  <c r="I39" i="192" s="1"/>
  <c r="I41" i="192" s="1"/>
  <c r="D32" i="192"/>
  <c r="N32" i="192" s="1"/>
  <c r="N39" i="192" s="1"/>
  <c r="D3" i="23"/>
  <c r="D4" i="23"/>
  <c r="D5" i="23"/>
  <c r="D6" i="23"/>
  <c r="D7" i="23"/>
  <c r="D8" i="23"/>
  <c r="D9" i="23"/>
  <c r="D10" i="23"/>
  <c r="D11" i="23"/>
  <c r="D12" i="23"/>
  <c r="D13" i="23"/>
  <c r="D14" i="23"/>
  <c r="D15" i="23"/>
  <c r="D16" i="23"/>
  <c r="N216" i="192" l="1"/>
  <c r="E22" i="323"/>
  <c r="B89" i="324"/>
  <c r="B50" i="324"/>
  <c r="G60" i="324"/>
  <c r="B60" i="324" s="1"/>
  <c r="B273" i="324"/>
  <c r="B55" i="324"/>
  <c r="B49" i="324"/>
  <c r="B54" i="324"/>
  <c r="G93" i="324"/>
  <c r="G98" i="324" s="1"/>
  <c r="G302" i="324" s="1"/>
  <c r="B255" i="324"/>
  <c r="B52" i="324"/>
  <c r="H108" i="324"/>
  <c r="H166" i="324"/>
  <c r="B51" i="324"/>
  <c r="G108" i="324"/>
  <c r="G166" i="324"/>
  <c r="H56" i="324"/>
  <c r="H58" i="324" s="1"/>
  <c r="H62" i="324" s="1"/>
  <c r="H66" i="324" s="1"/>
  <c r="B53" i="324"/>
  <c r="G56" i="324"/>
  <c r="G58" i="324" s="1"/>
  <c r="K98" i="192"/>
  <c r="K100" i="192" s="1"/>
  <c r="K103" i="192" s="1"/>
  <c r="K152" i="192"/>
  <c r="N152" i="192"/>
  <c r="E23" i="323" l="1"/>
  <c r="H110" i="324"/>
  <c r="H117" i="324" s="1"/>
  <c r="G110" i="324"/>
  <c r="G117" i="324" s="1"/>
  <c r="B93" i="324"/>
  <c r="G62" i="324"/>
  <c r="G66" i="324" s="1"/>
  <c r="E24" i="323" l="1"/>
  <c r="B66" i="324"/>
  <c r="E25" i="323" l="1"/>
  <c r="H72" i="324"/>
  <c r="H122" i="324" s="1"/>
  <c r="E26" i="323" l="1"/>
  <c r="G68" i="324"/>
  <c r="G72" i="324" s="1"/>
  <c r="H123" i="324"/>
  <c r="E27" i="323" l="1"/>
  <c r="H126" i="324"/>
  <c r="B68" i="324"/>
  <c r="H303" i="324" l="1"/>
  <c r="H304" i="324" s="1"/>
  <c r="E28" i="323"/>
  <c r="B72" i="324"/>
  <c r="G122" i="324"/>
  <c r="E29" i="323" l="1"/>
  <c r="B122" i="324"/>
  <c r="G123" i="324"/>
  <c r="G126" i="324" s="1"/>
  <c r="F45" i="5"/>
  <c r="G303" i="324" l="1"/>
  <c r="G304" i="324" s="1"/>
  <c r="E30" i="323"/>
  <c r="E31" i="323" l="1"/>
  <c r="J31" i="323"/>
  <c r="J29" i="323" l="1"/>
  <c r="J26" i="323"/>
  <c r="J27" i="323"/>
  <c r="J24" i="323"/>
  <c r="J22" i="323"/>
  <c r="J30" i="323"/>
  <c r="J28" i="323"/>
  <c r="J23" i="323"/>
  <c r="J25" i="323"/>
  <c r="D45" i="5" l="1"/>
  <c r="K36" i="361" l="1"/>
  <c r="F6" i="310" l="1"/>
  <c r="N264" i="192" l="1"/>
  <c r="M264" i="192"/>
  <c r="L264" i="192"/>
  <c r="K264" i="192"/>
  <c r="J264" i="192"/>
  <c r="I264" i="192"/>
  <c r="N44" i="192"/>
  <c r="M44" i="192"/>
  <c r="L44" i="192"/>
  <c r="K44" i="192"/>
  <c r="C12" i="313"/>
  <c r="D12" i="313" s="1"/>
  <c r="G9" i="313"/>
  <c r="H9" i="313" s="1"/>
  <c r="F6" i="313"/>
  <c r="F4" i="313"/>
  <c r="C11" i="312"/>
  <c r="C12" i="312" s="1"/>
  <c r="G9" i="312"/>
  <c r="H9" i="312" s="1"/>
  <c r="F6" i="312"/>
  <c r="F4" i="312"/>
  <c r="L247" i="192" l="1"/>
  <c r="L51" i="192" s="1"/>
  <c r="K247" i="192"/>
  <c r="K51" i="192" s="1"/>
  <c r="M247" i="192"/>
  <c r="M51" i="192" s="1"/>
  <c r="N247" i="192"/>
  <c r="N51" i="192" s="1"/>
  <c r="I263" i="192"/>
  <c r="J263" i="192"/>
  <c r="K263" i="192"/>
  <c r="L263" i="192"/>
  <c r="L265" i="192" s="1"/>
  <c r="M222" i="192"/>
  <c r="M48" i="192" s="1"/>
  <c r="N222" i="192"/>
  <c r="N48" i="192" s="1"/>
  <c r="M263" i="192"/>
  <c r="M265" i="192" s="1"/>
  <c r="M267" i="192" s="1"/>
  <c r="M56" i="192" s="1"/>
  <c r="K211" i="192"/>
  <c r="K46" i="192" s="1"/>
  <c r="K230" i="192"/>
  <c r="K49" i="192" s="1"/>
  <c r="N263" i="192"/>
  <c r="N265" i="192" s="1"/>
  <c r="N267" i="192" s="1"/>
  <c r="N56" i="192" s="1"/>
  <c r="L211" i="192"/>
  <c r="L46" i="192" s="1"/>
  <c r="L230" i="192"/>
  <c r="L49" i="192" s="1"/>
  <c r="M211" i="192"/>
  <c r="M46" i="192" s="1"/>
  <c r="M230" i="192"/>
  <c r="M49" i="192" s="1"/>
  <c r="M241" i="192"/>
  <c r="M50" i="192" s="1"/>
  <c r="K222" i="192"/>
  <c r="K48" i="192" s="1"/>
  <c r="L222" i="192"/>
  <c r="L48" i="192" s="1"/>
  <c r="N211" i="192"/>
  <c r="N46" i="192" s="1"/>
  <c r="N230" i="192"/>
  <c r="N49" i="192" s="1"/>
  <c r="N241" i="192"/>
  <c r="N50" i="192" s="1"/>
  <c r="K216" i="192"/>
  <c r="K47" i="192" s="1"/>
  <c r="L216" i="192"/>
  <c r="L47" i="192" s="1"/>
  <c r="M216" i="192"/>
  <c r="M47" i="192" s="1"/>
  <c r="N47" i="192"/>
  <c r="K204" i="192"/>
  <c r="N204" i="192"/>
  <c r="C13" i="313"/>
  <c r="C14" i="313" s="1"/>
  <c r="D14" i="313" s="1"/>
  <c r="D12" i="312"/>
  <c r="C13" i="312"/>
  <c r="D11" i="312"/>
  <c r="D13" i="313" l="1"/>
  <c r="B263" i="192"/>
  <c r="C15" i="313"/>
  <c r="N249" i="192"/>
  <c r="N45" i="192"/>
  <c r="N52" i="192" s="1"/>
  <c r="K45" i="192"/>
  <c r="D13" i="312"/>
  <c r="C14" i="312"/>
  <c r="D13" i="311"/>
  <c r="D12" i="311"/>
  <c r="D11" i="311"/>
  <c r="D10" i="311"/>
  <c r="D9" i="311"/>
  <c r="D8" i="311"/>
  <c r="D7" i="311"/>
  <c r="D6" i="311"/>
  <c r="D5" i="311"/>
  <c r="D4" i="311"/>
  <c r="D3" i="311"/>
  <c r="F4" i="310"/>
  <c r="I22" i="310" s="1"/>
  <c r="C12" i="310"/>
  <c r="C13" i="310"/>
  <c r="C14" i="310"/>
  <c r="C15" i="310"/>
  <c r="C16" i="310"/>
  <c r="I12" i="310" l="1"/>
  <c r="G12" i="310"/>
  <c r="F12" i="310"/>
  <c r="F39" i="310" s="1"/>
  <c r="H12" i="310"/>
  <c r="E12" i="310"/>
  <c r="E39" i="310" s="1"/>
  <c r="H13" i="310"/>
  <c r="G13" i="310"/>
  <c r="I13" i="310"/>
  <c r="F13" i="310"/>
  <c r="F40" i="310" s="1"/>
  <c r="E13" i="310"/>
  <c r="E40" i="310" s="1"/>
  <c r="I14" i="310"/>
  <c r="F14" i="310"/>
  <c r="F41" i="310" s="1"/>
  <c r="H14" i="310"/>
  <c r="G14" i="310"/>
  <c r="E14" i="310"/>
  <c r="E41" i="310" s="1"/>
  <c r="E15" i="310"/>
  <c r="E42" i="310" s="1"/>
  <c r="F15" i="310"/>
  <c r="F42" i="310" s="1"/>
  <c r="F16" i="310"/>
  <c r="F43" i="310" s="1"/>
  <c r="E16" i="310"/>
  <c r="E43" i="310" s="1"/>
  <c r="C16" i="313"/>
  <c r="D15" i="313"/>
  <c r="D6" i="310"/>
  <c r="F7" i="310" s="1" a="1"/>
  <c r="F7" i="310" s="1"/>
  <c r="F27" i="310" s="1"/>
  <c r="D14" i="312"/>
  <c r="C15" i="312"/>
  <c r="D15" i="312" s="1"/>
  <c r="F29" i="310"/>
  <c r="F26" i="310"/>
  <c r="F28" i="310"/>
  <c r="F33" i="310"/>
  <c r="I33" i="310"/>
  <c r="F35" i="310"/>
  <c r="F37" i="310"/>
  <c r="D16" i="313" l="1"/>
  <c r="C17" i="313"/>
  <c r="D17" i="313" s="1"/>
  <c r="F34" i="310"/>
  <c r="E45" i="310"/>
  <c r="F17" i="310"/>
  <c r="I6" i="310" s="1"/>
  <c r="F45" i="310"/>
  <c r="I35" i="310" l="1"/>
  <c r="I24" i="310"/>
  <c r="N82" i="192"/>
  <c r="K82" i="192"/>
  <c r="N80" i="192"/>
  <c r="M80" i="192"/>
  <c r="L80" i="192"/>
  <c r="K80" i="192"/>
  <c r="N79" i="192"/>
  <c r="M79" i="192"/>
  <c r="L79" i="192"/>
  <c r="K79" i="192"/>
  <c r="N75" i="192"/>
  <c r="K75" i="192"/>
  <c r="F24" i="310" a="1"/>
  <c r="F24" i="310" l="1"/>
  <c r="N83" i="192"/>
  <c r="N90" i="192" s="1"/>
  <c r="J44" i="192" l="1"/>
  <c r="I44" i="192"/>
  <c r="I165" i="192"/>
  <c r="I158" i="192"/>
  <c r="B3" i="306"/>
  <c r="B2" i="306"/>
  <c r="F2" i="231"/>
  <c r="F4" i="231"/>
  <c r="N54" i="192" l="1"/>
  <c r="N59" i="192" s="1"/>
  <c r="N61" i="192" s="1"/>
  <c r="N65" i="192" s="1"/>
  <c r="K83" i="192"/>
  <c r="K90" i="192" s="1"/>
  <c r="N108" i="192" l="1"/>
  <c r="N109" i="192" s="1"/>
  <c r="N111" i="192" s="1"/>
  <c r="N113" i="192" s="1"/>
  <c r="O179" i="7" l="1"/>
  <c r="H22" i="231" a="1"/>
  <c r="H22" i="231" s="1"/>
  <c r="T22" i="231" s="1"/>
  <c r="L179" i="7"/>
  <c r="K179" i="7"/>
  <c r="N179" i="7"/>
  <c r="M179" i="7"/>
  <c r="O178" i="7"/>
  <c r="M176" i="7" l="1"/>
  <c r="L176" i="7"/>
  <c r="N176" i="7"/>
  <c r="O176" i="7"/>
  <c r="O181" i="7" s="1"/>
  <c r="N274" i="192" l="1"/>
  <c r="M274" i="192"/>
  <c r="L274" i="192"/>
  <c r="K274" i="192"/>
  <c r="J274" i="192"/>
  <c r="I274" i="192"/>
  <c r="I163" i="192"/>
  <c r="J96" i="192"/>
  <c r="I96" i="192"/>
  <c r="J97" i="192"/>
  <c r="I97" i="192"/>
  <c r="J75" i="192"/>
  <c r="I75" i="192"/>
  <c r="M273" i="192"/>
  <c r="M271" i="192"/>
  <c r="I162" i="192" l="1"/>
  <c r="B162" i="192" s="1"/>
  <c r="I79" i="192"/>
  <c r="I80" i="192"/>
  <c r="J79" i="192"/>
  <c r="J80" i="192"/>
  <c r="B165" i="192"/>
  <c r="I156" i="192"/>
  <c r="I93" i="192"/>
  <c r="J93" i="192"/>
  <c r="I282" i="192"/>
  <c r="J282" i="192"/>
  <c r="I255" i="192"/>
  <c r="J255" i="192" s="1"/>
  <c r="K255" i="192" s="1"/>
  <c r="L255" i="192" s="1"/>
  <c r="M255" i="192" s="1"/>
  <c r="N255" i="192" s="1"/>
  <c r="I191" i="192"/>
  <c r="J191" i="192" s="1"/>
  <c r="I172" i="192"/>
  <c r="J172" i="192" s="1"/>
  <c r="I145" i="192"/>
  <c r="J145" i="192" s="1"/>
  <c r="I120" i="192"/>
  <c r="J120" i="192" s="1"/>
  <c r="I71" i="192"/>
  <c r="J71" i="192" s="1"/>
  <c r="B93" i="192" l="1"/>
  <c r="J149" i="192"/>
  <c r="J82" i="192" s="1"/>
  <c r="J151" i="192"/>
  <c r="I164" i="192"/>
  <c r="I151" i="192"/>
  <c r="I98" i="192" s="1"/>
  <c r="I149" i="192"/>
  <c r="I82" i="192" s="1"/>
  <c r="B179" i="192"/>
  <c r="B178" i="192"/>
  <c r="J101" i="192"/>
  <c r="I180" i="192"/>
  <c r="I182" i="192" s="1"/>
  <c r="I101" i="192" s="1"/>
  <c r="J87" i="192"/>
  <c r="I157" i="192"/>
  <c r="I159" i="192" s="1"/>
  <c r="I87" i="192" s="1"/>
  <c r="B181" i="192"/>
  <c r="B177" i="192"/>
  <c r="B158" i="192"/>
  <c r="B155" i="192"/>
  <c r="B37" i="192"/>
  <c r="M171" i="192"/>
  <c r="M169" i="192"/>
  <c r="K145" i="192"/>
  <c r="L145" i="192" s="1"/>
  <c r="M145" i="192" s="1"/>
  <c r="N145" i="192" s="1"/>
  <c r="M144" i="192"/>
  <c r="M142" i="192"/>
  <c r="M117" i="192"/>
  <c r="M119" i="192"/>
  <c r="K120" i="192"/>
  <c r="L120" i="192" s="1"/>
  <c r="M120" i="192" s="1"/>
  <c r="N120" i="192" s="1"/>
  <c r="G163" i="7"/>
  <c r="G161" i="7"/>
  <c r="G159" i="7"/>
  <c r="G155" i="7"/>
  <c r="G150" i="7"/>
  <c r="G133" i="7"/>
  <c r="G128" i="7"/>
  <c r="G122" i="7"/>
  <c r="G110" i="7"/>
  <c r="G100" i="7"/>
  <c r="G93" i="7"/>
  <c r="G79" i="7"/>
  <c r="G73" i="7"/>
  <c r="G68" i="7"/>
  <c r="G64" i="7"/>
  <c r="G59" i="7"/>
  <c r="G41" i="7"/>
  <c r="G22" i="7"/>
  <c r="M254" i="192"/>
  <c r="M252" i="192"/>
  <c r="M8" i="192"/>
  <c r="M190" i="192"/>
  <c r="M188" i="192"/>
  <c r="M70" i="192"/>
  <c r="M68" i="192"/>
  <c r="M28" i="192"/>
  <c r="M12" i="192"/>
  <c r="M26" i="192"/>
  <c r="M10" i="192"/>
  <c r="M7" i="192"/>
  <c r="K191" i="192"/>
  <c r="L191" i="192" s="1"/>
  <c r="M191" i="192" s="1"/>
  <c r="N191" i="192" s="1"/>
  <c r="K71" i="192"/>
  <c r="L71" i="192" s="1"/>
  <c r="M71" i="192" s="1"/>
  <c r="N71" i="192" s="1"/>
  <c r="I29" i="192"/>
  <c r="J152" i="192" l="1"/>
  <c r="J98" i="192"/>
  <c r="J100" i="192" s="1"/>
  <c r="J179" i="7"/>
  <c r="J178" i="7"/>
  <c r="I166" i="192"/>
  <c r="I102" i="192" s="1"/>
  <c r="I152" i="192"/>
  <c r="I128" i="192"/>
  <c r="B128" i="192" s="1"/>
  <c r="I125" i="192"/>
  <c r="B125" i="192" s="1"/>
  <c r="I127" i="192"/>
  <c r="I124" i="192"/>
  <c r="J176" i="7"/>
  <c r="B225" i="192"/>
  <c r="K172" i="192"/>
  <c r="L172" i="192" s="1"/>
  <c r="M172" i="192" s="1"/>
  <c r="N172" i="192" s="1"/>
  <c r="I83" i="192"/>
  <c r="I222" i="192"/>
  <c r="I48" i="192" s="1"/>
  <c r="J222" i="192"/>
  <c r="J48" i="192" s="1"/>
  <c r="B75" i="192"/>
  <c r="B220" i="192"/>
  <c r="B215" i="192"/>
  <c r="G131" i="192"/>
  <c r="J131" i="192"/>
  <c r="B262" i="192"/>
  <c r="I126" i="192"/>
  <c r="B77" i="192"/>
  <c r="B208" i="192"/>
  <c r="B203" i="192"/>
  <c r="B202" i="192"/>
  <c r="G7" i="7"/>
  <c r="G9" i="7"/>
  <c r="G10" i="7"/>
  <c r="F5" i="312" l="1"/>
  <c r="C1" i="312" s="1"/>
  <c r="B11" i="312"/>
  <c r="J181" i="7"/>
  <c r="J83" i="192"/>
  <c r="B219" i="192"/>
  <c r="B127" i="192"/>
  <c r="B209" i="192"/>
  <c r="B210" i="192"/>
  <c r="B214" i="192"/>
  <c r="B200" i="192"/>
  <c r="B199" i="192"/>
  <c r="B201" i="192"/>
  <c r="B207" i="192"/>
  <c r="B126" i="192"/>
  <c r="D107" i="192"/>
  <c r="J107" i="192" s="1"/>
  <c r="D64" i="192"/>
  <c r="D108" i="192"/>
  <c r="B64" i="192" l="1"/>
  <c r="G11" i="7"/>
  <c r="G13" i="7" l="1"/>
  <c r="B13" i="312"/>
  <c r="G13" i="312" s="1" a="1"/>
  <c r="G13" i="312" s="1"/>
  <c r="G12" i="7"/>
  <c r="F5" i="241" s="1"/>
  <c r="F5" i="362" l="1"/>
  <c r="G14" i="7"/>
  <c r="H13" i="312" a="1"/>
  <c r="H13" i="312" s="1"/>
  <c r="F13" i="312" a="1"/>
  <c r="F13" i="312" s="1"/>
  <c r="G15" i="7" l="1"/>
  <c r="G16" i="7" l="1"/>
  <c r="G17" i="7" l="1"/>
  <c r="G21" i="7" l="1"/>
  <c r="G18" i="7"/>
  <c r="G20" i="7"/>
  <c r="G19" i="7"/>
  <c r="C11" i="241" l="1"/>
  <c r="D11" i="241" s="1"/>
  <c r="M9" i="241"/>
  <c r="N9" i="241" s="1"/>
  <c r="C11" i="233"/>
  <c r="D11" i="233" s="1"/>
  <c r="G9" i="233"/>
  <c r="H9" i="233" s="1"/>
  <c r="F6" i="233"/>
  <c r="F4" i="233"/>
  <c r="C11" i="237"/>
  <c r="D11" i="237" s="1"/>
  <c r="O9" i="237"/>
  <c r="P9" i="237" s="1"/>
  <c r="F6" i="237"/>
  <c r="F4" i="237"/>
  <c r="C12" i="241" l="1"/>
  <c r="C12" i="233"/>
  <c r="D12" i="233" s="1"/>
  <c r="C12" i="237"/>
  <c r="C13" i="237" s="1"/>
  <c r="D13" i="237" s="1"/>
  <c r="C13" i="241" l="1"/>
  <c r="D13" i="241" s="1"/>
  <c r="D12" i="241"/>
  <c r="C13" i="233"/>
  <c r="D13" i="233" s="1"/>
  <c r="C14" i="237"/>
  <c r="D14" i="237" s="1"/>
  <c r="D12" i="237"/>
  <c r="C14" i="241" l="1"/>
  <c r="D14" i="241" s="1"/>
  <c r="C15" i="237"/>
  <c r="C16" i="237" s="1"/>
  <c r="D16" i="237" s="1"/>
  <c r="C14" i="233"/>
  <c r="C15" i="233" s="1"/>
  <c r="C15" i="241" l="1"/>
  <c r="D15" i="241" s="1"/>
  <c r="D14" i="233"/>
  <c r="D15" i="237"/>
  <c r="D15" i="233"/>
  <c r="C16" i="233"/>
  <c r="D16" i="233" l="1"/>
  <c r="C17" i="233"/>
  <c r="D17" i="233" s="1"/>
  <c r="I47" i="231" l="1"/>
  <c r="I33" i="231" s="1"/>
  <c r="N31" i="231"/>
  <c r="J31" i="231"/>
  <c r="N28" i="231"/>
  <c r="J28" i="231"/>
  <c r="N24" i="231"/>
  <c r="J24" i="231"/>
  <c r="N17" i="231"/>
  <c r="J17" i="231"/>
  <c r="N14" i="231"/>
  <c r="J14" i="231"/>
  <c r="I14" i="231"/>
  <c r="N37" i="231" l="1"/>
  <c r="J37" i="231"/>
  <c r="P33" i="231"/>
  <c r="Q33" i="231" s="1"/>
  <c r="K33" i="231"/>
  <c r="I23" i="231"/>
  <c r="I22" i="231"/>
  <c r="I30" i="231"/>
  <c r="P30" i="231" s="1"/>
  <c r="I27" i="231"/>
  <c r="I16" i="231"/>
  <c r="I17" i="231" s="1"/>
  <c r="I31" i="231" l="1"/>
  <c r="K30" i="231"/>
  <c r="I28" i="231"/>
  <c r="S33" i="231"/>
  <c r="I24" i="231"/>
  <c r="I37" i="231" l="1"/>
  <c r="N178" i="7"/>
  <c r="N181" i="7" s="1"/>
  <c r="B11" i="241"/>
  <c r="F11" i="241" l="1" a="1"/>
  <c r="F11" i="241" s="1"/>
  <c r="M11" i="241" a="1"/>
  <c r="M11" i="241" s="1"/>
  <c r="N11" i="241" a="1"/>
  <c r="N11" i="241" s="1"/>
  <c r="J47" i="241" l="1"/>
  <c r="M47" i="241"/>
  <c r="B12" i="241"/>
  <c r="B13" i="241" l="1"/>
  <c r="F12" i="241" a="1"/>
  <c r="F12" i="241" s="1"/>
  <c r="M12" i="241" a="1"/>
  <c r="M12" i="241" s="1"/>
  <c r="N12" i="241" a="1"/>
  <c r="N12" i="241" s="1"/>
  <c r="J48" i="241" l="1"/>
  <c r="M48" i="241"/>
  <c r="M49" i="241" s="1"/>
  <c r="F13" i="241" a="1"/>
  <c r="F13" i="241" s="1"/>
  <c r="M13" i="241" a="1"/>
  <c r="M13" i="241" s="1"/>
  <c r="N13" i="241" a="1"/>
  <c r="N13" i="241" s="1"/>
  <c r="O35" i="20" l="1"/>
  <c r="P35" i="20" s="1"/>
  <c r="B3" i="60"/>
  <c r="F5" i="237" l="1"/>
  <c r="F5" i="313"/>
  <c r="C1" i="235"/>
  <c r="B110" i="192" l="1"/>
  <c r="B86" i="192" l="1"/>
  <c r="B31" i="192"/>
  <c r="J29" i="192"/>
  <c r="B30" i="192" s="1"/>
  <c r="K29" i="192" l="1"/>
  <c r="L29" i="192" s="1"/>
  <c r="M29" i="192" s="1"/>
  <c r="N29" i="192" s="1"/>
  <c r="B4" i="16" l="1"/>
  <c r="BF1" i="20" l="1"/>
  <c r="B6" i="22" l="1"/>
  <c r="D16" i="22" l="1"/>
  <c r="D17" i="22" l="1"/>
  <c r="D18" i="22"/>
  <c r="D19" i="22"/>
  <c r="C2" i="131"/>
  <c r="D2" i="131" s="1"/>
  <c r="E2" i="131" s="1"/>
  <c r="B14" i="241" l="1"/>
  <c r="B15" i="241"/>
  <c r="F15" i="241" l="1" a="1"/>
  <c r="F15" i="241" s="1"/>
  <c r="M15" i="241" a="1"/>
  <c r="M15" i="241" s="1"/>
  <c r="N15" i="241" a="1"/>
  <c r="N15" i="241" s="1"/>
  <c r="F14" i="241" a="1"/>
  <c r="F14" i="241" s="1"/>
  <c r="M14" i="241" a="1"/>
  <c r="M14" i="241" s="1"/>
  <c r="N14" i="241" a="1"/>
  <c r="N14" i="241" s="1"/>
  <c r="M17" i="241" l="1"/>
  <c r="N17" i="241"/>
  <c r="K8" i="55" l="1"/>
  <c r="J8" i="55"/>
  <c r="H8" i="55"/>
  <c r="H9" i="55" s="1"/>
  <c r="G8" i="55"/>
  <c r="G9" i="55" s="1"/>
  <c r="J9" i="55" l="1"/>
  <c r="J10" i="55" s="1"/>
  <c r="K9" i="55"/>
  <c r="G10" i="55"/>
  <c r="G11" i="55" s="1"/>
  <c r="H10" i="55"/>
  <c r="H11" i="55" s="1"/>
  <c r="B39" i="5"/>
  <c r="B40" i="5" s="1"/>
  <c r="K10" i="55" l="1"/>
  <c r="J11" i="55"/>
  <c r="J12" i="55" s="1"/>
  <c r="H12" i="55"/>
  <c r="H13" i="55" s="1"/>
  <c r="H14" i="55" s="1"/>
  <c r="G12" i="55"/>
  <c r="J13" i="55" l="1"/>
  <c r="J14" i="55" s="1"/>
  <c r="K11" i="55"/>
  <c r="G13" i="55"/>
  <c r="G14" i="55" s="1"/>
  <c r="H15" i="55"/>
  <c r="H16" i="55" s="1"/>
  <c r="H17" i="55" s="1"/>
  <c r="K12" i="55" l="1"/>
  <c r="K13" i="55" s="1"/>
  <c r="J15" i="55"/>
  <c r="J16" i="55" s="1"/>
  <c r="J17" i="55" s="1"/>
  <c r="G15" i="55"/>
  <c r="G16" i="55" s="1"/>
  <c r="G17" i="55" s="1"/>
  <c r="K14" i="55" l="1"/>
  <c r="K15" i="55" s="1"/>
  <c r="K16" i="55" s="1"/>
  <c r="K17" i="55" s="1"/>
  <c r="D40" i="5" a="1"/>
  <c r="D40" i="5" s="1"/>
  <c r="F40" i="5" l="1" a="1"/>
  <c r="F40" i="5" s="1"/>
  <c r="E40" i="5" s="1" a="1"/>
  <c r="E40" i="5" s="1"/>
  <c r="C40" i="5" a="1"/>
  <c r="C40" i="5" s="1"/>
  <c r="D41" i="5" a="1"/>
  <c r="D41" i="5" s="1"/>
  <c r="C41" i="5" a="1"/>
  <c r="C41" i="5" s="1"/>
  <c r="F39" i="5" a="1"/>
  <c r="F39" i="5" s="1"/>
  <c r="E39" i="5" s="1" a="1"/>
  <c r="E39" i="5" s="1"/>
  <c r="B2" i="60" l="1"/>
  <c r="D39" i="5" l="1" a="1"/>
  <c r="D39" i="5" s="1"/>
  <c r="D23" i="22"/>
  <c r="B2" i="58" l="1"/>
  <c r="C4" i="55"/>
  <c r="C2" i="55"/>
  <c r="F25" i="55"/>
  <c r="C39" i="5" l="1" a="1"/>
  <c r="C39" i="5" s="1"/>
  <c r="J18" i="55" l="1"/>
  <c r="J20" i="55" s="1"/>
  <c r="H18" i="55" l="1"/>
  <c r="H20" i="55" s="1"/>
  <c r="G18" i="55" l="1"/>
  <c r="K18" i="55"/>
  <c r="G20" i="55" l="1"/>
  <c r="B4" i="58" l="1"/>
  <c r="C4" i="20"/>
  <c r="B5" i="8"/>
  <c r="B4" i="14"/>
  <c r="O32" i="20" l="1"/>
  <c r="P32" i="20" s="1"/>
  <c r="A32" i="20" s="1"/>
  <c r="O29" i="20"/>
  <c r="P29" i="20" s="1"/>
  <c r="A29" i="20" s="1"/>
  <c r="O28" i="20"/>
  <c r="P28" i="20" s="1"/>
  <c r="A28" i="20" s="1"/>
  <c r="O27" i="20"/>
  <c r="P27" i="20" s="1"/>
  <c r="A27" i="20" s="1"/>
  <c r="O26" i="20"/>
  <c r="P26" i="20" s="1"/>
  <c r="A26" i="20" s="1"/>
  <c r="O25" i="20"/>
  <c r="P25" i="20" s="1"/>
  <c r="A25" i="20" s="1"/>
  <c r="O23" i="20"/>
  <c r="P23" i="20" s="1"/>
  <c r="A23" i="20" s="1"/>
  <c r="O21" i="20"/>
  <c r="P21" i="20" s="1"/>
  <c r="A21" i="20" s="1"/>
  <c r="O20" i="20"/>
  <c r="P20" i="20" s="1"/>
  <c r="A20" i="20" s="1"/>
  <c r="O19" i="20"/>
  <c r="P19" i="20" s="1"/>
  <c r="A19" i="20" s="1"/>
  <c r="O18" i="20"/>
  <c r="P18" i="20" s="1"/>
  <c r="A18" i="20" s="1"/>
  <c r="O17" i="20"/>
  <c r="P17" i="20" s="1"/>
  <c r="A17" i="20" s="1"/>
  <c r="O16" i="20"/>
  <c r="P16" i="20" s="1"/>
  <c r="A16" i="20" s="1"/>
  <c r="O15" i="20"/>
  <c r="P15" i="20" s="1"/>
  <c r="A15" i="20" s="1"/>
  <c r="O9" i="20"/>
  <c r="P9" i="20" s="1"/>
  <c r="O11" i="20"/>
  <c r="P11" i="20" s="1"/>
  <c r="O34" i="20"/>
  <c r="P34" i="20" s="1"/>
  <c r="A34" i="20" s="1"/>
  <c r="O31" i="20"/>
  <c r="P31" i="20" s="1"/>
  <c r="A31" i="20" s="1"/>
  <c r="O24" i="20"/>
  <c r="P24" i="20" s="1"/>
  <c r="A24" i="20" s="1"/>
  <c r="O14" i="20"/>
  <c r="P14" i="20" s="1"/>
  <c r="A14" i="20" s="1"/>
  <c r="O13" i="20"/>
  <c r="P13" i="20" s="1"/>
  <c r="A13" i="20" s="1"/>
  <c r="O10" i="20"/>
  <c r="P10" i="20" s="1"/>
  <c r="A10" i="20" s="1"/>
  <c r="O12" i="20"/>
  <c r="P12" i="20" s="1"/>
  <c r="O30" i="20"/>
  <c r="P30" i="20" s="1"/>
  <c r="A30" i="20" s="1"/>
  <c r="O22" i="20"/>
  <c r="P22" i="20" s="1"/>
  <c r="A22" i="20" s="1"/>
  <c r="O33" i="20"/>
  <c r="P33" i="20" s="1"/>
  <c r="A33" i="20" s="1"/>
  <c r="F8" i="55"/>
  <c r="P6" i="20" l="1"/>
  <c r="A9" i="20"/>
  <c r="A11" i="20" s="1"/>
  <c r="A12" i="20" s="1"/>
  <c r="I8" i="55"/>
  <c r="I9" i="55" s="1"/>
  <c r="I10" i="55" s="1"/>
  <c r="I11" i="55" s="1"/>
  <c r="I12" i="55" s="1"/>
  <c r="I13" i="55" s="1"/>
  <c r="I14" i="55" s="1"/>
  <c r="F9" i="55"/>
  <c r="F10" i="55" s="1"/>
  <c r="L8" i="55"/>
  <c r="L9" i="55" s="1"/>
  <c r="I15" i="55" l="1"/>
  <c r="I16" i="55" s="1"/>
  <c r="L10" i="55"/>
  <c r="L11" i="55" s="1"/>
  <c r="L12" i="55" s="1"/>
  <c r="F11" i="55"/>
  <c r="F12" i="55" s="1"/>
  <c r="F13" i="55" l="1"/>
  <c r="F14" i="55" s="1"/>
  <c r="F15" i="55" s="1"/>
  <c r="F16" i="55" s="1"/>
  <c r="L13" i="55"/>
  <c r="L14" i="55" s="1"/>
  <c r="L15" i="55" s="1"/>
  <c r="L16" i="55" l="1"/>
  <c r="B7" i="16" l="1"/>
  <c r="C2" i="20"/>
  <c r="B2" i="18"/>
  <c r="B2" i="16"/>
  <c r="B2" i="14"/>
  <c r="B3" i="8"/>
  <c r="B2" i="5"/>
  <c r="B46" i="5"/>
  <c r="F46" i="5" l="1"/>
  <c r="D46" i="5"/>
  <c r="B47" i="5"/>
  <c r="F47" i="5" s="1"/>
  <c r="BD1" i="16" l="1"/>
  <c r="D47" i="5"/>
  <c r="B48" i="5"/>
  <c r="F48" i="5" s="1"/>
  <c r="D48" i="5" l="1"/>
  <c r="B49" i="5"/>
  <c r="F49" i="5" s="1"/>
  <c r="D49" i="5" l="1"/>
  <c r="B50" i="5"/>
  <c r="F50" i="5" s="1"/>
  <c r="D50" i="5" l="1"/>
  <c r="B51" i="5"/>
  <c r="F51" i="5" s="1"/>
  <c r="D51" i="5" l="1"/>
  <c r="B52" i="5"/>
  <c r="F52" i="5" s="1"/>
  <c r="I18" i="55"/>
  <c r="I20" i="55" s="1"/>
  <c r="F18" i="55"/>
  <c r="D52" i="5" l="1"/>
  <c r="B53" i="5"/>
  <c r="F53" i="5" s="1"/>
  <c r="L20" i="55"/>
  <c r="D53" i="5" l="1"/>
  <c r="B54" i="5"/>
  <c r="F54" i="5" s="1"/>
  <c r="L18" i="55"/>
  <c r="D54" i="5" l="1"/>
  <c r="B55" i="5"/>
  <c r="F55" i="5" s="1"/>
  <c r="D55" i="5" l="1"/>
  <c r="B56" i="5"/>
  <c r="F56" i="5" s="1"/>
  <c r="D56" i="5" l="1"/>
  <c r="C45" i="5"/>
  <c r="E45" i="5"/>
  <c r="E47" i="5"/>
  <c r="E46" i="5"/>
  <c r="E52" i="5"/>
  <c r="E51" i="5"/>
  <c r="C52" i="5"/>
  <c r="E48" i="5"/>
  <c r="E53" i="5"/>
  <c r="E54" i="5"/>
  <c r="E49" i="5"/>
  <c r="C49" i="5"/>
  <c r="C50" i="5"/>
  <c r="E50" i="5"/>
  <c r="C51" i="5"/>
  <c r="E56" i="5"/>
  <c r="C54" i="5"/>
  <c r="C55" i="5"/>
  <c r="C56" i="5"/>
  <c r="E55" i="5"/>
  <c r="C53" i="5"/>
  <c r="B57" i="5"/>
  <c r="F57" i="5" s="1"/>
  <c r="E57" i="5" l="1"/>
  <c r="D57" i="5"/>
  <c r="C57" i="5"/>
  <c r="B58" i="5"/>
  <c r="F58" i="5" s="1"/>
  <c r="F59" i="5" l="1"/>
  <c r="F20" i="5" s="1"/>
  <c r="D58" i="5"/>
  <c r="C58" i="5"/>
  <c r="E58" i="5"/>
  <c r="I26" i="22" l="1"/>
  <c r="H19" i="22" l="1"/>
  <c r="H6" i="22"/>
  <c r="C46" i="5" l="1"/>
  <c r="C48" i="5" l="1"/>
  <c r="C47" i="5"/>
  <c r="M178" i="7" l="1"/>
  <c r="M181" i="7" s="1"/>
  <c r="L178" i="7" l="1"/>
  <c r="L181" i="7" s="1"/>
  <c r="K178" i="7" l="1"/>
  <c r="F44" i="192" l="1"/>
  <c r="B82" i="192" l="1"/>
  <c r="B76" i="192"/>
  <c r="B226" i="192"/>
  <c r="I204" i="192"/>
  <c r="I45" i="192" s="1"/>
  <c r="B106" i="192"/>
  <c r="B240" i="192"/>
  <c r="B260" i="192"/>
  <c r="B60" i="192"/>
  <c r="I241" i="192"/>
  <c r="J204" i="192"/>
  <c r="J45" i="192" s="1"/>
  <c r="E44" i="192"/>
  <c r="B246" i="192"/>
  <c r="J216" i="192"/>
  <c r="I230" i="192"/>
  <c r="I49" i="192" s="1"/>
  <c r="B224" i="192"/>
  <c r="B96" i="192"/>
  <c r="J230" i="192"/>
  <c r="B95" i="192"/>
  <c r="B221" i="192"/>
  <c r="F48" i="192"/>
  <c r="B87" i="192"/>
  <c r="J211" i="192"/>
  <c r="B229" i="192"/>
  <c r="B206" i="192"/>
  <c r="I211" i="192"/>
  <c r="I46" i="192" s="1"/>
  <c r="B198" i="192"/>
  <c r="B259" i="192"/>
  <c r="J247" i="192"/>
  <c r="B213" i="192"/>
  <c r="I216" i="192"/>
  <c r="I47" i="192" s="1"/>
  <c r="B245" i="192"/>
  <c r="B239" i="192"/>
  <c r="B261" i="192"/>
  <c r="J241" i="192"/>
  <c r="B243" i="192"/>
  <c r="I247" i="192"/>
  <c r="I51" i="192" s="1"/>
  <c r="B218" i="192"/>
  <c r="I50" i="192" l="1"/>
  <c r="B241" i="192"/>
  <c r="F47" i="192"/>
  <c r="J47" i="192"/>
  <c r="F46" i="192"/>
  <c r="J46" i="192"/>
  <c r="F50" i="192"/>
  <c r="J50" i="192"/>
  <c r="F51" i="192"/>
  <c r="J51" i="192"/>
  <c r="F49" i="192"/>
  <c r="J49" i="192"/>
  <c r="B44" i="192"/>
  <c r="I249" i="192"/>
  <c r="H131" i="192"/>
  <c r="B204" i="192"/>
  <c r="E47" i="192"/>
  <c r="B216" i="192"/>
  <c r="E51" i="192"/>
  <c r="B247" i="192"/>
  <c r="F45" i="192"/>
  <c r="J249" i="192"/>
  <c r="B32" i="192"/>
  <c r="E49" i="192"/>
  <c r="B230" i="192"/>
  <c r="I131" i="192"/>
  <c r="E50" i="192"/>
  <c r="B211" i="192"/>
  <c r="E46" i="192"/>
  <c r="B222" i="192"/>
  <c r="E48" i="192"/>
  <c r="E45" i="192"/>
  <c r="B49" i="192" l="1"/>
  <c r="B47" i="192"/>
  <c r="B50" i="192"/>
  <c r="B48" i="192"/>
  <c r="B46" i="192"/>
  <c r="B39" i="192"/>
  <c r="B249" i="192"/>
  <c r="F52" i="192"/>
  <c r="J85" i="192"/>
  <c r="J90" i="192" s="1"/>
  <c r="F85" i="192"/>
  <c r="E52" i="192"/>
  <c r="I52" i="192"/>
  <c r="I54" i="192" s="1"/>
  <c r="J52" i="192" l="1"/>
  <c r="J54" i="192" s="1"/>
  <c r="B45" i="192"/>
  <c r="E85" i="192"/>
  <c r="I85" i="192"/>
  <c r="I90" i="192" s="1"/>
  <c r="B85" i="192" l="1"/>
  <c r="J265" i="192" l="1"/>
  <c r="J267" i="192" l="1"/>
  <c r="F56" i="192" s="1"/>
  <c r="B266" i="192"/>
  <c r="I265" i="192"/>
  <c r="I267" i="192" s="1"/>
  <c r="J56" i="192" l="1"/>
  <c r="J59" i="192" s="1"/>
  <c r="I56" i="192"/>
  <c r="B267" i="192"/>
  <c r="E56" i="192"/>
  <c r="I59" i="192" l="1"/>
  <c r="I61" i="192" s="1"/>
  <c r="J61" i="192"/>
  <c r="B56" i="192"/>
  <c r="B61" i="192" l="1"/>
  <c r="D16" i="369" l="1"/>
  <c r="A1" i="369" s="1"/>
  <c r="K176" i="7"/>
  <c r="K181" i="7" s="1"/>
  <c r="B107" i="192" l="1"/>
  <c r="J103" i="192" l="1"/>
  <c r="I100" i="192"/>
  <c r="I103" i="192" s="1"/>
  <c r="B94" i="192"/>
  <c r="F152" i="192" l="1"/>
  <c r="E152" i="192"/>
  <c r="L204" i="192" l="1"/>
  <c r="M204" i="192"/>
  <c r="B14" i="312"/>
  <c r="M282" i="192" l="1"/>
  <c r="L282" i="192"/>
  <c r="L45" i="192"/>
  <c r="M249" i="192"/>
  <c r="M45" i="192"/>
  <c r="M52" i="192" s="1"/>
  <c r="M54" i="192" s="1"/>
  <c r="M59" i="192" s="1"/>
  <c r="M61" i="192" s="1"/>
  <c r="M65" i="192" s="1"/>
  <c r="F14" i="312" a="1"/>
  <c r="F14" i="312" s="1"/>
  <c r="G14" i="312" a="1"/>
  <c r="G14" i="312" s="1"/>
  <c r="H14" i="312" a="1"/>
  <c r="H14" i="312" s="1"/>
  <c r="G12" i="313" a="1"/>
  <c r="G12" i="313" s="1"/>
  <c r="F12" i="313" a="1"/>
  <c r="F12" i="313" s="1"/>
  <c r="H12" i="313" a="1"/>
  <c r="H12" i="313" s="1"/>
  <c r="L63" i="192" l="1"/>
  <c r="M108" i="192"/>
  <c r="M109" i="192" s="1"/>
  <c r="M151" i="192"/>
  <c r="M98" i="192" s="1"/>
  <c r="M100" i="192" s="1"/>
  <c r="M103" i="192" s="1"/>
  <c r="M149" i="192"/>
  <c r="M82" i="192" s="1"/>
  <c r="L149" i="192"/>
  <c r="L82" i="192" s="1"/>
  <c r="L151" i="192"/>
  <c r="L98" i="192" s="1"/>
  <c r="L100" i="192" s="1"/>
  <c r="L103" i="192" s="1"/>
  <c r="M111" i="192" l="1"/>
  <c r="L152" i="192"/>
  <c r="M152" i="192"/>
  <c r="A35" i="20" l="1"/>
  <c r="I28" i="22"/>
  <c r="I24" i="323" l="1"/>
  <c r="I30" i="323" l="1"/>
  <c r="I27" i="323"/>
  <c r="I29" i="323"/>
  <c r="I23" i="323"/>
  <c r="I31" i="323"/>
  <c r="I22" i="323"/>
  <c r="I28" i="323"/>
  <c r="I26" i="323"/>
  <c r="I25" i="323"/>
  <c r="B12" i="312" l="1"/>
  <c r="F12" i="312" s="1" a="1"/>
  <c r="F12" i="312" s="1"/>
  <c r="B11" i="323" l="1"/>
  <c r="I5" i="323"/>
  <c r="B11" i="235"/>
  <c r="B11" i="238"/>
  <c r="B12" i="238"/>
  <c r="F5" i="238"/>
  <c r="C1" i="238" s="1"/>
  <c r="G12" i="312" a="1"/>
  <c r="G12" i="312" s="1"/>
  <c r="H12" i="312" a="1"/>
  <c r="H12" i="312" s="1"/>
  <c r="E11" i="323" l="1" a="1"/>
  <c r="E11" i="323" s="1"/>
  <c r="J11" i="323" a="1"/>
  <c r="J11" i="323" s="1"/>
  <c r="J14" i="323" s="1"/>
  <c r="K11" i="323" a="1"/>
  <c r="K11" i="323" s="1"/>
  <c r="K14" i="323" s="1"/>
  <c r="H11" i="238" a="1"/>
  <c r="H11" i="238" s="1"/>
  <c r="G11" i="238" a="1"/>
  <c r="G11" i="238" s="1"/>
  <c r="F11" i="238" a="1"/>
  <c r="F11" i="238" s="1"/>
  <c r="G11" i="235" a="1"/>
  <c r="G11" i="235" s="1"/>
  <c r="F11" i="235" a="1"/>
  <c r="F11" i="235" s="1"/>
  <c r="H11" i="235" a="1"/>
  <c r="H11" i="235" s="1"/>
  <c r="F12" i="238" a="1"/>
  <c r="F12" i="238" s="1"/>
  <c r="G12" i="238" a="1"/>
  <c r="G12" i="238" s="1"/>
  <c r="H12" i="238" a="1"/>
  <c r="H12" i="238" s="1"/>
  <c r="J20" i="323" l="1"/>
  <c r="H29" i="323"/>
  <c r="H24" i="323"/>
  <c r="H20" i="323"/>
  <c r="I20" i="323"/>
  <c r="F21" i="323"/>
  <c r="H27" i="323"/>
  <c r="F27" i="323"/>
  <c r="H21" i="323"/>
  <c r="J21" i="323"/>
  <c r="F28" i="323"/>
  <c r="H22" i="323"/>
  <c r="F22" i="323"/>
  <c r="H28" i="323"/>
  <c r="E32" i="323"/>
  <c r="F29" i="323"/>
  <c r="F23" i="323"/>
  <c r="F31" i="323"/>
  <c r="H26" i="323"/>
  <c r="F20" i="323"/>
  <c r="F26" i="323"/>
  <c r="H25" i="323"/>
  <c r="F25" i="323"/>
  <c r="H23" i="323"/>
  <c r="F30" i="323"/>
  <c r="F24" i="323"/>
  <c r="H30" i="323"/>
  <c r="I21" i="323"/>
  <c r="H31" i="323"/>
  <c r="A26" i="5" l="1"/>
  <c r="C16" i="231"/>
  <c r="M16" i="231" s="1" a="1"/>
  <c r="M16" i="231" s="1"/>
  <c r="B16" i="231"/>
  <c r="H16" i="231" s="1" a="1"/>
  <c r="H16" i="231" s="1"/>
  <c r="H13" i="231" a="1"/>
  <c r="H13" i="231" s="1"/>
  <c r="K13" i="231" s="1"/>
  <c r="H23" i="231" a="1"/>
  <c r="H23" i="231" s="1"/>
  <c r="K23" i="231" s="1"/>
  <c r="H27" i="231" a="1"/>
  <c r="H27" i="231" s="1"/>
  <c r="K27" i="231" s="1"/>
  <c r="J19" i="323" l="1"/>
  <c r="H19" i="323"/>
  <c r="P16" i="231"/>
  <c r="P17" i="231" s="1"/>
  <c r="Q30" i="231"/>
  <c r="S30" i="231" s="1"/>
  <c r="K16" i="231"/>
  <c r="P23" i="231"/>
  <c r="H28" i="231"/>
  <c r="K28" i="231"/>
  <c r="H14" i="231"/>
  <c r="T23" i="231"/>
  <c r="T30" i="231"/>
  <c r="T31" i="231" s="1"/>
  <c r="H31" i="231"/>
  <c r="M31" i="231"/>
  <c r="H17" i="231"/>
  <c r="T16" i="231"/>
  <c r="T17" i="231" s="1"/>
  <c r="M17" i="231"/>
  <c r="P27" i="231"/>
  <c r="M28" i="231"/>
  <c r="T27" i="231"/>
  <c r="T28" i="231" s="1"/>
  <c r="P31" i="231" l="1"/>
  <c r="G32" i="323"/>
  <c r="G19" i="323"/>
  <c r="G18" i="323"/>
  <c r="G22" i="323"/>
  <c r="G21" i="323"/>
  <c r="G26" i="323"/>
  <c r="G20" i="323"/>
  <c r="G25" i="323"/>
  <c r="F18" i="323"/>
  <c r="I19" i="323"/>
  <c r="G33" i="323"/>
  <c r="G27" i="323"/>
  <c r="G23" i="323"/>
  <c r="H18" i="323"/>
  <c r="J18" i="323"/>
  <c r="J32" i="323" s="1"/>
  <c r="G24" i="323"/>
  <c r="G31" i="323"/>
  <c r="G28" i="323"/>
  <c r="F19" i="323"/>
  <c r="G29" i="323"/>
  <c r="I18" i="323"/>
  <c r="G30" i="323"/>
  <c r="H11" i="312" a="1"/>
  <c r="H11" i="312" s="1"/>
  <c r="M13" i="231" a="1"/>
  <c r="M13" i="231" s="1"/>
  <c r="K174" i="7"/>
  <c r="P28" i="231"/>
  <c r="Q27" i="231"/>
  <c r="Q23" i="231"/>
  <c r="K14" i="231"/>
  <c r="Q16" i="231"/>
  <c r="G11" i="312" a="1"/>
  <c r="G11" i="312" s="1"/>
  <c r="F26" i="5" a="1"/>
  <c r="F26" i="5" s="1"/>
  <c r="F31" i="5" s="1"/>
  <c r="K31" i="231"/>
  <c r="K17" i="231"/>
  <c r="J174" i="7"/>
  <c r="Q31" i="231" l="1"/>
  <c r="S31" i="231"/>
  <c r="Q17" i="231"/>
  <c r="T24" i="231"/>
  <c r="P22" i="231"/>
  <c r="P24" i="231" s="1"/>
  <c r="K22" i="231"/>
  <c r="H24" i="231"/>
  <c r="H37" i="231" s="1"/>
  <c r="M24" i="231"/>
  <c r="P13" i="231"/>
  <c r="P14" i="231" s="1"/>
  <c r="M14" i="231"/>
  <c r="T13" i="231"/>
  <c r="T14" i="231" s="1"/>
  <c r="S16" i="231"/>
  <c r="S17" i="231" s="1"/>
  <c r="M174" i="7"/>
  <c r="S23" i="231"/>
  <c r="Q28" i="231"/>
  <c r="S27" i="231"/>
  <c r="S28" i="231" s="1"/>
  <c r="T37" i="231" l="1"/>
  <c r="P37" i="231"/>
  <c r="M37" i="231"/>
  <c r="Q22" i="231"/>
  <c r="Q24" i="231" s="1"/>
  <c r="K24" i="231"/>
  <c r="K37" i="231" s="1"/>
  <c r="Q13" i="231"/>
  <c r="L174" i="7"/>
  <c r="S22" i="231" l="1"/>
  <c r="S24" i="231" s="1"/>
  <c r="Q14" i="231"/>
  <c r="Q37" i="231" s="1"/>
  <c r="S13" i="231"/>
  <c r="S14" i="231" s="1"/>
  <c r="O174" i="7"/>
  <c r="S37" i="231" l="1"/>
  <c r="N174" i="7"/>
  <c r="F11" i="312" a="1"/>
  <c r="F11" i="312" s="1"/>
  <c r="K265" i="192"/>
  <c r="K267" i="192" s="1"/>
  <c r="K56" i="192" s="1"/>
  <c r="L267" i="192"/>
  <c r="L56" i="192" s="1"/>
  <c r="M75" i="192"/>
  <c r="M83" i="192" s="1"/>
  <c r="L75" i="192"/>
  <c r="L83" i="192" s="1"/>
  <c r="L90" i="192" s="1"/>
  <c r="G24" i="305" a="1"/>
  <c r="G24" i="305" s="1"/>
  <c r="F24" i="305" a="1"/>
  <c r="F24" i="305" s="1"/>
  <c r="H24" i="305" a="1"/>
  <c r="H24" i="305" s="1"/>
  <c r="G25" i="305" a="1"/>
  <c r="G25" i="305" s="1"/>
  <c r="H25" i="305" a="1"/>
  <c r="H25" i="305" s="1"/>
  <c r="F25" i="305" a="1"/>
  <c r="F25" i="305" s="1"/>
  <c r="G26" i="305" a="1"/>
  <c r="G26" i="305" s="1"/>
  <c r="F26" i="305" a="1"/>
  <c r="F26" i="305" s="1"/>
  <c r="H26" i="305" a="1"/>
  <c r="H26" i="305" s="1"/>
  <c r="H27" i="305" a="1"/>
  <c r="H27" i="305" s="1"/>
  <c r="F27" i="305" a="1"/>
  <c r="F27" i="305" s="1"/>
  <c r="G27" i="305" a="1"/>
  <c r="G27" i="305" s="1"/>
  <c r="F24" i="7"/>
  <c r="F25" i="7" s="1"/>
  <c r="F26" i="7" s="1"/>
  <c r="F27" i="7" s="1"/>
  <c r="F28" i="7" s="1"/>
  <c r="G23" i="7"/>
  <c r="B11" i="305" s="1"/>
  <c r="F11" i="305" s="1" a="1"/>
  <c r="F11" i="305" s="1"/>
  <c r="M90" i="192" l="1"/>
  <c r="M113" i="192" s="1"/>
  <c r="F29" i="7"/>
  <c r="F30" i="7" s="1"/>
  <c r="F31" i="7" s="1"/>
  <c r="G28" i="7"/>
  <c r="G25" i="7"/>
  <c r="G11" i="305" a="1"/>
  <c r="G11" i="305" s="1"/>
  <c r="H11" i="305" a="1"/>
  <c r="H11" i="305" s="1"/>
  <c r="G24" i="7"/>
  <c r="B12" i="305" s="1"/>
  <c r="F32" i="7" l="1"/>
  <c r="F33" i="7" s="1"/>
  <c r="F34" i="7" s="1"/>
  <c r="G26" i="7"/>
  <c r="B14" i="305" s="1"/>
  <c r="G30" i="7"/>
  <c r="B13" i="305"/>
  <c r="F12" i="305" a="1"/>
  <c r="F12" i="305" s="1"/>
  <c r="H12" i="305" a="1"/>
  <c r="H12" i="305" s="1"/>
  <c r="G12" i="305" a="1"/>
  <c r="G12" i="305" s="1"/>
  <c r="F35" i="7" l="1"/>
  <c r="F36" i="7" s="1"/>
  <c r="F37" i="7" s="1"/>
  <c r="F38" i="7" s="1"/>
  <c r="F39" i="7" s="1"/>
  <c r="F40" i="7" s="1"/>
  <c r="G27" i="7"/>
  <c r="F14" i="305" a="1"/>
  <c r="F14" i="305" s="1"/>
  <c r="G14" i="305" a="1"/>
  <c r="G14" i="305" s="1"/>
  <c r="H14" i="305" a="1"/>
  <c r="H14" i="305" s="1"/>
  <c r="G13" i="305" a="1"/>
  <c r="G13" i="305" s="1"/>
  <c r="H13" i="305" a="1"/>
  <c r="H13" i="305" s="1"/>
  <c r="F13" i="305" a="1"/>
  <c r="F13" i="305" s="1"/>
  <c r="G31" i="7" l="1"/>
  <c r="G29" i="7"/>
  <c r="G32" i="7"/>
  <c r="B15" i="305"/>
  <c r="B17" i="305" l="1"/>
  <c r="G15" i="305" a="1"/>
  <c r="G15" i="305" s="1"/>
  <c r="H15" i="305" a="1"/>
  <c r="H15" i="305" s="1"/>
  <c r="F15" i="305" a="1"/>
  <c r="F15" i="305" s="1"/>
  <c r="B16" i="305"/>
  <c r="F17" i="305" l="1" a="1"/>
  <c r="F17" i="305" s="1"/>
  <c r="G17" i="305" a="1"/>
  <c r="G17" i="305" s="1"/>
  <c r="H17" i="305" a="1"/>
  <c r="H17" i="305" s="1"/>
  <c r="H16" i="305" a="1"/>
  <c r="H16" i="305" s="1"/>
  <c r="F16" i="305" a="1"/>
  <c r="F16" i="305" s="1"/>
  <c r="G16" i="305" a="1"/>
  <c r="G16" i="305" s="1"/>
  <c r="G33" i="7"/>
  <c r="H31" i="305" l="1"/>
  <c r="G31" i="305"/>
  <c r="G30" i="305"/>
  <c r="H30" i="305"/>
  <c r="G28" i="305"/>
  <c r="S39" i="231" s="1"/>
  <c r="H28" i="305"/>
  <c r="T39" i="231" s="1"/>
  <c r="G34" i="7"/>
  <c r="G35" i="7"/>
  <c r="H33" i="305" l="1"/>
  <c r="G33" i="305"/>
  <c r="G36" i="7"/>
  <c r="G37" i="7" l="1"/>
  <c r="G38" i="7" l="1"/>
  <c r="G39" i="7" l="1"/>
  <c r="G40" i="7" l="1"/>
  <c r="F42" i="7"/>
  <c r="G42" i="7" l="1"/>
  <c r="F43" i="7"/>
  <c r="G43" i="7" l="1"/>
  <c r="F44" i="7"/>
  <c r="G44" i="7" l="1"/>
  <c r="F45" i="7"/>
  <c r="G45" i="7" l="1"/>
  <c r="F46" i="7"/>
  <c r="G46" i="7" l="1"/>
  <c r="F47" i="7"/>
  <c r="G47" i="7" l="1"/>
  <c r="F48" i="7"/>
  <c r="G48" i="7" l="1"/>
  <c r="F49" i="7"/>
  <c r="G49" i="7" l="1"/>
  <c r="F50" i="7"/>
  <c r="G50" i="7" l="1"/>
  <c r="F51" i="7"/>
  <c r="G51" i="7" l="1"/>
  <c r="F53" i="7"/>
  <c r="F52" i="7"/>
  <c r="G52" i="7" s="1"/>
  <c r="G53" i="7" l="1"/>
  <c r="F54" i="7"/>
  <c r="G54" i="7" l="1"/>
  <c r="F55" i="7"/>
  <c r="G55" i="7" l="1"/>
  <c r="F56" i="7"/>
  <c r="G56" i="7" l="1"/>
  <c r="F57" i="7"/>
  <c r="G57" i="7" l="1"/>
  <c r="F58" i="7"/>
  <c r="G58" i="7" l="1"/>
  <c r="F60" i="7"/>
  <c r="G60" i="7" l="1"/>
  <c r="F61" i="7"/>
  <c r="G61" i="7" l="1"/>
  <c r="F62" i="7"/>
  <c r="G62" i="7" l="1"/>
  <c r="F63" i="7"/>
  <c r="G63" i="7" l="1"/>
  <c r="F65" i="7"/>
  <c r="G65" i="7" l="1"/>
  <c r="F66" i="7"/>
  <c r="G66" i="7" l="1"/>
  <c r="F67" i="7"/>
  <c r="G67" i="7" l="1"/>
  <c r="F69" i="7"/>
  <c r="G69" i="7" l="1"/>
  <c r="F70" i="7"/>
  <c r="G70" i="7" l="1"/>
  <c r="F71" i="7"/>
  <c r="G71" i="7" l="1"/>
  <c r="F72" i="7"/>
  <c r="G72" i="7" l="1"/>
  <c r="F74" i="7"/>
  <c r="G74" i="7" l="1"/>
  <c r="F75" i="7"/>
  <c r="G75" i="7" l="1"/>
  <c r="F76" i="7"/>
  <c r="G76" i="7" l="1"/>
  <c r="F77" i="7"/>
  <c r="G77" i="7" l="1"/>
  <c r="F78" i="7"/>
  <c r="G78" i="7" l="1"/>
  <c r="F80" i="7"/>
  <c r="G80" i="7" l="1"/>
  <c r="F81" i="7"/>
  <c r="G81" i="7" s="1"/>
  <c r="F82" i="7"/>
  <c r="G82" i="7" l="1"/>
  <c r="F83" i="7"/>
  <c r="G83" i="7" l="1"/>
  <c r="F84" i="7"/>
  <c r="G84" i="7" l="1"/>
  <c r="F85" i="7"/>
  <c r="G85" i="7" l="1"/>
  <c r="F86" i="7"/>
  <c r="G86" i="7" l="1"/>
  <c r="F87" i="7"/>
  <c r="G87" i="7" l="1"/>
  <c r="F88" i="7"/>
  <c r="G88" i="7" l="1"/>
  <c r="F89" i="7"/>
  <c r="G89" i="7" l="1"/>
  <c r="F90" i="7"/>
  <c r="G90" i="7" l="1"/>
  <c r="F91" i="7"/>
  <c r="G91" i="7" l="1"/>
  <c r="F92" i="7"/>
  <c r="G92" i="7" l="1"/>
  <c r="F94" i="7"/>
  <c r="F95" i="7" s="1"/>
  <c r="F96" i="7" s="1"/>
  <c r="F97" i="7" s="1"/>
  <c r="F98" i="7" s="1"/>
  <c r="F99" i="7" s="1"/>
  <c r="G94" i="7" l="1"/>
  <c r="G95" i="7"/>
  <c r="G98" i="7" l="1"/>
  <c r="G96" i="7"/>
  <c r="G97" i="7"/>
  <c r="G99" i="7" l="1"/>
  <c r="F101" i="7" l="1"/>
  <c r="G101" i="7" l="1"/>
  <c r="F102" i="7"/>
  <c r="G102" i="7" l="1"/>
  <c r="F103" i="7"/>
  <c r="G103" i="7" l="1"/>
  <c r="F104" i="7"/>
  <c r="G104" i="7" l="1"/>
  <c r="F105" i="7"/>
  <c r="G105" i="7" l="1"/>
  <c r="F106" i="7"/>
  <c r="G106" i="7" l="1"/>
  <c r="F107" i="7"/>
  <c r="G107" i="7" l="1"/>
  <c r="F108" i="7"/>
  <c r="G108" i="7" l="1"/>
  <c r="F109" i="7"/>
  <c r="G109" i="7" l="1"/>
  <c r="F111" i="7"/>
  <c r="G111" i="7" l="1"/>
  <c r="F112" i="7"/>
  <c r="G112" i="7" l="1"/>
  <c r="F113" i="7"/>
  <c r="G113" i="7" l="1"/>
  <c r="F116" i="7"/>
  <c r="F114" i="7"/>
  <c r="F121" i="7"/>
  <c r="G121" i="7" l="1"/>
  <c r="G116" i="7"/>
  <c r="G114" i="7"/>
  <c r="F117" i="7"/>
  <c r="F115" i="7"/>
  <c r="G115" i="7" l="1"/>
  <c r="F118" i="7"/>
  <c r="G118" i="7" s="1"/>
  <c r="G117" i="7"/>
  <c r="F120" i="7"/>
  <c r="G120" i="7" s="1"/>
  <c r="F119" i="7"/>
  <c r="G119" i="7" s="1"/>
  <c r="F123" i="7" l="1"/>
  <c r="G123" i="7" l="1"/>
  <c r="F124" i="7"/>
  <c r="G124" i="7" l="1"/>
  <c r="F125" i="7"/>
  <c r="G125" i="7" l="1"/>
  <c r="F126" i="7"/>
  <c r="G126" i="7" l="1"/>
  <c r="F127" i="7"/>
  <c r="G127" i="7" l="1"/>
  <c r="F129" i="7"/>
  <c r="G129" i="7" l="1"/>
  <c r="F130" i="7"/>
  <c r="G130" i="7" l="1"/>
  <c r="F131" i="7"/>
  <c r="G131" i="7" l="1"/>
  <c r="F132" i="7"/>
  <c r="G132" i="7" l="1"/>
  <c r="F134" i="7"/>
  <c r="G134" i="7" l="1"/>
  <c r="F135" i="7"/>
  <c r="G135" i="7" l="1"/>
  <c r="F136" i="7"/>
  <c r="G136" i="7" l="1"/>
  <c r="F137" i="7"/>
  <c r="G137" i="7" l="1"/>
  <c r="F138" i="7"/>
  <c r="G138" i="7" l="1"/>
  <c r="F139" i="7"/>
  <c r="G139" i="7" l="1"/>
  <c r="F142" i="7"/>
  <c r="F141" i="7"/>
  <c r="G141" i="7" s="1"/>
  <c r="G142" i="7" l="1"/>
  <c r="F143" i="7"/>
  <c r="G143" i="7" l="1"/>
  <c r="F144" i="7"/>
  <c r="G144" i="7" l="1"/>
  <c r="F145" i="7"/>
  <c r="G145" i="7" l="1"/>
  <c r="F146" i="7"/>
  <c r="G146" i="7" l="1"/>
  <c r="F147" i="7"/>
  <c r="G147" i="7" l="1"/>
  <c r="F148" i="7"/>
  <c r="G148" i="7" l="1"/>
  <c r="F149" i="7"/>
  <c r="G149" i="7" l="1"/>
  <c r="F151" i="7"/>
  <c r="G151" i="7" s="1"/>
  <c r="F152" i="7"/>
  <c r="G152" i="7" l="1"/>
  <c r="F153" i="7"/>
  <c r="G153" i="7" l="1"/>
  <c r="F154" i="7"/>
  <c r="G154" i="7" l="1"/>
  <c r="F156" i="7"/>
  <c r="G156" i="7" l="1"/>
  <c r="F157" i="7"/>
  <c r="G157" i="7" l="1"/>
  <c r="F158" i="7"/>
  <c r="G158" i="7" l="1"/>
  <c r="F160" i="7"/>
  <c r="G160" i="7" l="1"/>
  <c r="F162" i="7"/>
  <c r="G162" i="7" l="1"/>
  <c r="F164" i="7"/>
  <c r="G164" i="7" l="1"/>
  <c r="F165" i="7"/>
  <c r="G165" i="7" l="1"/>
  <c r="F166" i="7"/>
  <c r="G166" i="7" s="1"/>
  <c r="E88" i="192" l="1"/>
  <c r="F228" i="192"/>
  <c r="E244" i="192"/>
  <c r="E78" i="192"/>
  <c r="F88" i="192"/>
  <c r="F81" i="192"/>
  <c r="E81" i="192"/>
  <c r="F244" i="192"/>
  <c r="F227" i="192"/>
  <c r="E228" i="192"/>
  <c r="F78" i="192"/>
  <c r="E227" i="192"/>
  <c r="E124" i="192"/>
  <c r="E94" i="192"/>
  <c r="E106" i="192"/>
  <c r="E202" i="192"/>
  <c r="E206" i="192"/>
  <c r="E226" i="192"/>
  <c r="F229" i="192"/>
  <c r="B18" i="236"/>
  <c r="E214" i="192"/>
  <c r="F203" i="192"/>
  <c r="F213" i="192"/>
  <c r="F208" i="192"/>
  <c r="F220" i="192"/>
  <c r="F5" i="233"/>
  <c r="C1" i="233" s="1"/>
  <c r="F259" i="192"/>
  <c r="B17" i="313"/>
  <c r="B13" i="235"/>
  <c r="E179" i="192"/>
  <c r="E87" i="192"/>
  <c r="B16" i="234"/>
  <c r="F245" i="192"/>
  <c r="B15" i="361"/>
  <c r="F209" i="192"/>
  <c r="E60" i="192"/>
  <c r="F292" i="192"/>
  <c r="F288" i="192"/>
  <c r="F156" i="192"/>
  <c r="F99" i="192"/>
  <c r="F5" i="234"/>
  <c r="C1" i="234" s="1"/>
  <c r="F194" i="192"/>
  <c r="E201" i="192"/>
  <c r="E278" i="192"/>
  <c r="E194" i="192"/>
  <c r="F77" i="192"/>
  <c r="F240" i="192"/>
  <c r="E32" i="192"/>
  <c r="E96" i="192"/>
  <c r="E63" i="192"/>
  <c r="B15" i="234"/>
  <c r="F177" i="192"/>
  <c r="F182" i="192" s="1"/>
  <c r="B12" i="237"/>
  <c r="F107" i="192"/>
  <c r="L107" i="192" s="1"/>
  <c r="B16" i="313"/>
  <c r="E178" i="192"/>
  <c r="B13" i="361"/>
  <c r="F243" i="192"/>
  <c r="F5" i="361"/>
  <c r="E64" i="192"/>
  <c r="B16" i="233"/>
  <c r="F264" i="192"/>
  <c r="F201" i="192"/>
  <c r="B17" i="235"/>
  <c r="E243" i="192"/>
  <c r="F162" i="192"/>
  <c r="F166" i="192" s="1"/>
  <c r="B15" i="313"/>
  <c r="B11" i="236"/>
  <c r="B16" i="312"/>
  <c r="E77" i="192"/>
  <c r="B15" i="235"/>
  <c r="B17" i="237"/>
  <c r="F94" i="192"/>
  <c r="B15" i="233"/>
  <c r="B17" i="361"/>
  <c r="E155" i="192"/>
  <c r="E159" i="192" s="1"/>
  <c r="F221" i="192"/>
  <c r="E240" i="192"/>
  <c r="B14" i="237"/>
  <c r="F280" i="192"/>
  <c r="F133" i="192"/>
  <c r="B13" i="234"/>
  <c r="F163" i="192"/>
  <c r="B14" i="233"/>
  <c r="E224" i="192"/>
  <c r="B19" i="362"/>
  <c r="F198" i="192"/>
  <c r="B17" i="233"/>
  <c r="E199" i="192"/>
  <c r="B18" i="234"/>
  <c r="B11" i="361"/>
  <c r="E292" i="192"/>
  <c r="E207" i="192"/>
  <c r="E200" i="192"/>
  <c r="F214" i="192"/>
  <c r="F75" i="192"/>
  <c r="B16" i="362"/>
  <c r="B13" i="236"/>
  <c r="F218" i="192"/>
  <c r="F225" i="192"/>
  <c r="E76" i="192"/>
  <c r="E266" i="192"/>
  <c r="E281" i="192"/>
  <c r="E221" i="192"/>
  <c r="B11" i="233"/>
  <c r="F207" i="192"/>
  <c r="B16" i="236"/>
  <c r="B16" i="241"/>
  <c r="B13" i="238"/>
  <c r="E203" i="192"/>
  <c r="F210" i="192"/>
  <c r="F63" i="192"/>
  <c r="B17" i="362"/>
  <c r="F95" i="192"/>
  <c r="E208" i="192"/>
  <c r="B12" i="361"/>
  <c r="E260" i="192"/>
  <c r="B18" i="313"/>
  <c r="E286" i="192"/>
  <c r="E280" i="192"/>
  <c r="B18" i="362"/>
  <c r="E261" i="192"/>
  <c r="B15" i="238"/>
  <c r="F178" i="192"/>
  <c r="E97" i="192"/>
  <c r="B15" i="312"/>
  <c r="F202" i="192"/>
  <c r="F60" i="192"/>
  <c r="F262" i="192"/>
  <c r="B13" i="237"/>
  <c r="B12" i="234"/>
  <c r="F200" i="192"/>
  <c r="F106" i="192"/>
  <c r="E219" i="192"/>
  <c r="F206" i="192"/>
  <c r="E229" i="192"/>
  <c r="E225" i="192"/>
  <c r="F226" i="192"/>
  <c r="F87" i="192"/>
  <c r="E33" i="192"/>
  <c r="E215" i="192"/>
  <c r="F76" i="192"/>
  <c r="F124" i="192"/>
  <c r="B12" i="236"/>
  <c r="F82" i="192"/>
  <c r="E264" i="192"/>
  <c r="F155" i="192"/>
  <c r="F159" i="192" s="1"/>
  <c r="B14" i="235"/>
  <c r="B16" i="235"/>
  <c r="E220" i="192"/>
  <c r="E245" i="192"/>
  <c r="B14" i="361"/>
  <c r="E263" i="192"/>
  <c r="B16" i="361"/>
  <c r="B14" i="236"/>
  <c r="E259" i="192"/>
  <c r="E99" i="192"/>
  <c r="F261" i="192"/>
  <c r="F260" i="192"/>
  <c r="B15" i="237"/>
  <c r="B11" i="237"/>
  <c r="E284" i="192"/>
  <c r="B17" i="234"/>
  <c r="B11" i="234"/>
  <c r="F32" i="192"/>
  <c r="F96" i="192"/>
  <c r="F266" i="192"/>
  <c r="E162" i="192"/>
  <c r="E166" i="192" s="1"/>
  <c r="E198" i="192"/>
  <c r="E288" i="192"/>
  <c r="E75" i="192"/>
  <c r="E107" i="192"/>
  <c r="F238" i="192"/>
  <c r="L241" i="192" s="1"/>
  <c r="E209" i="192"/>
  <c r="E239" i="192"/>
  <c r="F281" i="192"/>
  <c r="F286" i="192"/>
  <c r="E290" i="192"/>
  <c r="F263" i="192"/>
  <c r="E218" i="192"/>
  <c r="E210" i="192"/>
  <c r="E262" i="192"/>
  <c r="E163" i="192"/>
  <c r="F33" i="192"/>
  <c r="F199" i="192"/>
  <c r="F97" i="192"/>
  <c r="E133" i="192"/>
  <c r="E95" i="192"/>
  <c r="F290" i="192"/>
  <c r="F239" i="192"/>
  <c r="F219" i="192"/>
  <c r="E213" i="192"/>
  <c r="F215" i="192"/>
  <c r="E238" i="192"/>
  <c r="K241" i="192" s="1"/>
  <c r="F179" i="192"/>
  <c r="F64" i="192"/>
  <c r="F284" i="192"/>
  <c r="E82" i="192"/>
  <c r="E156" i="192"/>
  <c r="F224" i="192"/>
  <c r="E246" i="192"/>
  <c r="F246" i="192"/>
  <c r="B14" i="362"/>
  <c r="B13" i="233"/>
  <c r="B18" i="361"/>
  <c r="F278" i="192"/>
  <c r="B14" i="313"/>
  <c r="B12" i="233"/>
  <c r="B14" i="234"/>
  <c r="B18" i="233"/>
  <c r="B17" i="236"/>
  <c r="B16" i="237"/>
  <c r="B13" i="313"/>
  <c r="B12" i="235"/>
  <c r="B18" i="235"/>
  <c r="E177" i="192"/>
  <c r="E182" i="192" s="1"/>
  <c r="B14" i="238"/>
  <c r="F5" i="236"/>
  <c r="C1" i="236" s="1"/>
  <c r="B12" i="362"/>
  <c r="B13" i="362"/>
  <c r="B11" i="362"/>
  <c r="B15" i="362"/>
  <c r="B16" i="238"/>
  <c r="B13" i="323"/>
  <c r="B15" i="236"/>
  <c r="L50" i="192" l="1"/>
  <c r="L52" i="192" s="1"/>
  <c r="L54" i="192" s="1"/>
  <c r="L59" i="192" s="1"/>
  <c r="L61" i="192" s="1"/>
  <c r="L65" i="192" s="1"/>
  <c r="K63" i="192" s="1"/>
  <c r="L249" i="192"/>
  <c r="K50" i="192"/>
  <c r="K52" i="192" s="1"/>
  <c r="K54" i="192" s="1"/>
  <c r="K59" i="192" s="1"/>
  <c r="K61" i="192" s="1"/>
  <c r="K249" i="192"/>
  <c r="H17" i="313" a="1"/>
  <c r="H17" i="313" s="1"/>
  <c r="G17" i="313" a="1"/>
  <c r="G17" i="313" s="1"/>
  <c r="F17" i="313" a="1"/>
  <c r="F17" i="313" s="1"/>
  <c r="P18" i="362" a="1"/>
  <c r="P18" i="362" s="1"/>
  <c r="F18" i="362" a="1"/>
  <c r="F18" i="362" s="1"/>
  <c r="Q18" i="362" a="1"/>
  <c r="Q18" i="362" s="1"/>
  <c r="G15" i="233" a="1"/>
  <c r="G15" i="233" s="1"/>
  <c r="H15" i="233" a="1"/>
  <c r="H15" i="233" s="1"/>
  <c r="F15" i="233" a="1"/>
  <c r="F15" i="233" s="1"/>
  <c r="H13" i="313" a="1"/>
  <c r="H13" i="313" s="1"/>
  <c r="F13" i="313" a="1"/>
  <c r="F13" i="313" s="1"/>
  <c r="G13" i="313" a="1"/>
  <c r="G13" i="313" s="1"/>
  <c r="F39" i="192"/>
  <c r="F54" i="192" s="1"/>
  <c r="F59" i="192" s="1"/>
  <c r="F61" i="192" s="1"/>
  <c r="F65" i="192" s="1"/>
  <c r="F108" i="192" s="1"/>
  <c r="F109" i="192" s="1"/>
  <c r="G16" i="235" a="1"/>
  <c r="G16" i="235" s="1"/>
  <c r="F16" i="235" a="1"/>
  <c r="F16" i="235" s="1"/>
  <c r="H16" i="235" a="1"/>
  <c r="H16" i="235" s="1"/>
  <c r="H17" i="233" a="1"/>
  <c r="H17" i="233" s="1"/>
  <c r="G17" i="233" a="1"/>
  <c r="G17" i="233" s="1"/>
  <c r="F17" i="233" a="1"/>
  <c r="F17" i="233" s="1"/>
  <c r="G15" i="236" a="1"/>
  <c r="G15" i="236" s="1"/>
  <c r="H15" i="236" a="1"/>
  <c r="H15" i="236" s="1"/>
  <c r="F15" i="236" a="1"/>
  <c r="F15" i="236" s="1"/>
  <c r="G14" i="234" a="1"/>
  <c r="G14" i="234" s="1"/>
  <c r="H14" i="234" a="1"/>
  <c r="H14" i="234" s="1"/>
  <c r="F14" i="234" a="1"/>
  <c r="F14" i="234" s="1"/>
  <c r="G12" i="234" a="1"/>
  <c r="G12" i="234" s="1"/>
  <c r="F12" i="234" a="1"/>
  <c r="F12" i="234" s="1"/>
  <c r="H12" i="234" a="1"/>
  <c r="H12" i="234" s="1"/>
  <c r="L12" i="361" a="1"/>
  <c r="L12" i="361" s="1"/>
  <c r="F12" i="361" a="1"/>
  <c r="F12" i="361" s="1"/>
  <c r="K12" i="361" a="1"/>
  <c r="K12" i="361" s="1"/>
  <c r="P12" i="237" a="1"/>
  <c r="P12" i="237" s="1"/>
  <c r="O12" i="237" a="1"/>
  <c r="O12" i="237" s="1"/>
  <c r="N12" i="237" a="1"/>
  <c r="N12" i="237" s="1"/>
  <c r="H12" i="233" a="1"/>
  <c r="H12" i="233" s="1"/>
  <c r="G12" i="233" a="1"/>
  <c r="G12" i="233" s="1"/>
  <c r="F12" i="233" a="1"/>
  <c r="F12" i="233" s="1"/>
  <c r="O11" i="237" a="1"/>
  <c r="O11" i="237" s="1"/>
  <c r="N11" i="237" a="1"/>
  <c r="N11" i="237" s="1"/>
  <c r="P11" i="237" a="1"/>
  <c r="P11" i="237" s="1"/>
  <c r="P13" i="237" a="1"/>
  <c r="P13" i="237" s="1"/>
  <c r="N13" i="237" a="1"/>
  <c r="N13" i="237" s="1"/>
  <c r="O13" i="237" a="1"/>
  <c r="O13" i="237" s="1"/>
  <c r="G14" i="233" a="1"/>
  <c r="G14" i="233" s="1"/>
  <c r="F14" i="233" a="1"/>
  <c r="F14" i="233" s="1"/>
  <c r="H14" i="233" a="1"/>
  <c r="H14" i="233" s="1"/>
  <c r="H11" i="236" a="1"/>
  <c r="H11" i="236" s="1"/>
  <c r="F11" i="236" a="1"/>
  <c r="F11" i="236" s="1"/>
  <c r="G11" i="236" a="1"/>
  <c r="G11" i="236" s="1"/>
  <c r="H16" i="236" a="1"/>
  <c r="H16" i="236" s="1"/>
  <c r="F16" i="236" a="1"/>
  <c r="F16" i="236" s="1"/>
  <c r="G16" i="236" a="1"/>
  <c r="G16" i="236" s="1"/>
  <c r="F100" i="192"/>
  <c r="F12" i="236" a="1"/>
  <c r="F12" i="236" s="1"/>
  <c r="G12" i="236" a="1"/>
  <c r="G12" i="236" s="1"/>
  <c r="H12" i="236" a="1"/>
  <c r="H12" i="236" s="1"/>
  <c r="P17" i="362" a="1"/>
  <c r="P17" i="362" s="1"/>
  <c r="F17" i="362" a="1"/>
  <c r="F17" i="362" s="1"/>
  <c r="Q17" i="362" a="1"/>
  <c r="Q17" i="362" s="1"/>
  <c r="H13" i="236" a="1"/>
  <c r="H13" i="236" s="1"/>
  <c r="F13" i="236" a="1"/>
  <c r="F13" i="236" s="1"/>
  <c r="G13" i="236" a="1"/>
  <c r="G13" i="236" s="1"/>
  <c r="H13" i="234" a="1"/>
  <c r="H13" i="234" s="1"/>
  <c r="F13" i="234" a="1"/>
  <c r="F13" i="234" s="1"/>
  <c r="G13" i="234" a="1"/>
  <c r="G13" i="234" s="1"/>
  <c r="F15" i="361" a="1"/>
  <c r="F15" i="361" s="1"/>
  <c r="K15" i="361" a="1"/>
  <c r="K15" i="361" s="1"/>
  <c r="L15" i="361" a="1"/>
  <c r="L15" i="361" s="1"/>
  <c r="K13" i="361" a="1"/>
  <c r="K13" i="361" s="1"/>
  <c r="L13" i="361" a="1"/>
  <c r="L13" i="361" s="1"/>
  <c r="F13" i="361" a="1"/>
  <c r="F13" i="361" s="1"/>
  <c r="G15" i="235" a="1"/>
  <c r="G15" i="235" s="1"/>
  <c r="F15" i="235" a="1"/>
  <c r="F15" i="235" s="1"/>
  <c r="H15" i="235" a="1"/>
  <c r="H15" i="235" s="1"/>
  <c r="F16" i="313" a="1"/>
  <c r="F16" i="313" s="1"/>
  <c r="G16" i="313" a="1"/>
  <c r="G16" i="313" s="1"/>
  <c r="H16" i="313" a="1"/>
  <c r="H16" i="313" s="1"/>
  <c r="F17" i="234" a="1"/>
  <c r="F17" i="234" s="1"/>
  <c r="G17" i="234" a="1"/>
  <c r="G17" i="234" s="1"/>
  <c r="H17" i="234" a="1"/>
  <c r="H17" i="234" s="1"/>
  <c r="F16" i="362" a="1"/>
  <c r="F16" i="362" s="1"/>
  <c r="P16" i="362" a="1"/>
  <c r="P16" i="362" s="1"/>
  <c r="O60" i="362" s="1"/>
  <c r="Q16" i="362" a="1"/>
  <c r="Q16" i="362" s="1"/>
  <c r="L14" i="361" a="1"/>
  <c r="L14" i="361" s="1"/>
  <c r="F14" i="361" a="1"/>
  <c r="F14" i="361" s="1"/>
  <c r="K14" i="361" a="1"/>
  <c r="K14" i="361" s="1"/>
  <c r="F11" i="361" a="1"/>
  <c r="F11" i="361" s="1"/>
  <c r="L11" i="361" a="1"/>
  <c r="L11" i="361" s="1"/>
  <c r="K11" i="361" a="1"/>
  <c r="K11" i="361" s="1"/>
  <c r="F14" i="313" a="1"/>
  <c r="F14" i="313" s="1"/>
  <c r="G14" i="313" a="1"/>
  <c r="G14" i="313" s="1"/>
  <c r="H14" i="313" a="1"/>
  <c r="H14" i="313" s="1"/>
  <c r="P15" i="362" a="1"/>
  <c r="P15" i="362" s="1"/>
  <c r="O59" i="362" s="1"/>
  <c r="Q15" i="362" a="1"/>
  <c r="Q15" i="362" s="1"/>
  <c r="F15" i="362" a="1"/>
  <c r="F15" i="362" s="1"/>
  <c r="F131" i="192"/>
  <c r="F83" i="192"/>
  <c r="F17" i="235" a="1"/>
  <c r="F17" i="235" s="1"/>
  <c r="H17" i="235" a="1"/>
  <c r="H17" i="235" s="1"/>
  <c r="G17" i="235" a="1"/>
  <c r="G17" i="235" s="1"/>
  <c r="E39" i="192"/>
  <c r="E54" i="192" s="1"/>
  <c r="E59" i="192" s="1"/>
  <c r="E61" i="192" s="1"/>
  <c r="E65" i="192" s="1"/>
  <c r="E108" i="192" s="1"/>
  <c r="E109" i="192" s="1"/>
  <c r="H16" i="234" a="1"/>
  <c r="H16" i="234" s="1"/>
  <c r="F16" i="234" a="1"/>
  <c r="F16" i="234" s="1"/>
  <c r="G16" i="234" a="1"/>
  <c r="G16" i="234" s="1"/>
  <c r="H17" i="236" a="1"/>
  <c r="H17" i="236" s="1"/>
  <c r="G17" i="236" a="1"/>
  <c r="G17" i="236" s="1"/>
  <c r="F17" i="236" a="1"/>
  <c r="F17" i="236" s="1"/>
  <c r="O15" i="237" a="1"/>
  <c r="O15" i="237" s="1"/>
  <c r="N15" i="237" a="1"/>
  <c r="N15" i="237" s="1"/>
  <c r="P15" i="237" a="1"/>
  <c r="P15" i="237" s="1"/>
  <c r="H15" i="313" a="1"/>
  <c r="H15" i="313" s="1"/>
  <c r="G15" i="313" a="1"/>
  <c r="G15" i="313" s="1"/>
  <c r="F15" i="313" a="1"/>
  <c r="F15" i="313" s="1"/>
  <c r="G15" i="234" a="1"/>
  <c r="G15" i="234" s="1"/>
  <c r="H15" i="234" a="1"/>
  <c r="H15" i="234" s="1"/>
  <c r="F15" i="234" a="1"/>
  <c r="F15" i="234" s="1"/>
  <c r="P13" i="362" a="1"/>
  <c r="P13" i="362" s="1"/>
  <c r="F13" i="362" a="1"/>
  <c r="F13" i="362" s="1"/>
  <c r="Q13" i="362" a="1"/>
  <c r="Q13" i="362" s="1"/>
  <c r="F13" i="233" a="1"/>
  <c r="F13" i="233" s="1"/>
  <c r="G13" i="233" a="1"/>
  <c r="G13" i="233" s="1"/>
  <c r="H13" i="233" a="1"/>
  <c r="H13" i="233" s="1"/>
  <c r="G15" i="312" a="1"/>
  <c r="G15" i="312" s="1"/>
  <c r="G17" i="312" s="1"/>
  <c r="F15" i="312" a="1"/>
  <c r="F15" i="312" s="1"/>
  <c r="H15" i="312" a="1"/>
  <c r="H15" i="312" s="1"/>
  <c r="H17" i="312" s="1"/>
  <c r="Q12" i="362" a="1"/>
  <c r="Q12" i="362" s="1"/>
  <c r="F12" i="362" a="1"/>
  <c r="F12" i="362" s="1"/>
  <c r="P12" i="362" a="1"/>
  <c r="P12" i="362" s="1"/>
  <c r="Q14" i="362" a="1"/>
  <c r="Q14" i="362" s="1"/>
  <c r="P14" i="362" a="1"/>
  <c r="P14" i="362" s="1"/>
  <c r="F14" i="362" a="1"/>
  <c r="F14" i="362" s="1"/>
  <c r="E83" i="192"/>
  <c r="N14" i="237" a="1"/>
  <c r="N14" i="237" s="1"/>
  <c r="P14" i="237" a="1"/>
  <c r="P14" i="237" s="1"/>
  <c r="O14" i="237" a="1"/>
  <c r="O14" i="237" s="1"/>
  <c r="H15" i="238" a="1"/>
  <c r="H15" i="238" s="1"/>
  <c r="F15" i="238" a="1"/>
  <c r="F15" i="238" s="1"/>
  <c r="G15" i="238" a="1"/>
  <c r="G15" i="238" s="1"/>
  <c r="K17" i="361" a="1"/>
  <c r="K17" i="361" s="1"/>
  <c r="F17" i="361" a="1"/>
  <c r="F17" i="361" s="1"/>
  <c r="L17" i="361" a="1"/>
  <c r="L17" i="361" s="1"/>
  <c r="H12" i="235" a="1"/>
  <c r="H12" i="235" s="1"/>
  <c r="F12" i="235" a="1"/>
  <c r="F12" i="235" s="1"/>
  <c r="G12" i="235" a="1"/>
  <c r="G12" i="235" s="1"/>
  <c r="G11" i="233" a="1"/>
  <c r="G11" i="233" s="1"/>
  <c r="F11" i="233" a="1"/>
  <c r="F11" i="233" s="1"/>
  <c r="H11" i="233" a="1"/>
  <c r="H11" i="233" s="1"/>
  <c r="P16" i="237" a="1"/>
  <c r="P16" i="237" s="1"/>
  <c r="O16" i="237" a="1"/>
  <c r="O16" i="237" s="1"/>
  <c r="N16" i="237" a="1"/>
  <c r="N16" i="237" s="1"/>
  <c r="G11" i="234" a="1"/>
  <c r="G11" i="234" s="1"/>
  <c r="H11" i="234" a="1"/>
  <c r="H11" i="234" s="1"/>
  <c r="F11" i="234" a="1"/>
  <c r="F11" i="234" s="1"/>
  <c r="F14" i="235" a="1"/>
  <c r="F14" i="235" s="1"/>
  <c r="H14" i="235" a="1"/>
  <c r="H14" i="235" s="1"/>
  <c r="G14" i="235" a="1"/>
  <c r="G14" i="235" s="1"/>
  <c r="Q11" i="362" a="1"/>
  <c r="Q11" i="362" s="1"/>
  <c r="F11" i="362" a="1"/>
  <c r="F11" i="362" s="1"/>
  <c r="P11" i="362" a="1"/>
  <c r="P11" i="362" s="1"/>
  <c r="F14" i="236" a="1"/>
  <c r="F14" i="236" s="1"/>
  <c r="H14" i="236" a="1"/>
  <c r="H14" i="236" s="1"/>
  <c r="G14" i="236" a="1"/>
  <c r="G14" i="236" s="1"/>
  <c r="H13" i="238" a="1"/>
  <c r="H13" i="238" s="1"/>
  <c r="G13" i="238" a="1"/>
  <c r="G13" i="238" s="1"/>
  <c r="F13" i="238" a="1"/>
  <c r="F13" i="238" s="1"/>
  <c r="E100" i="192"/>
  <c r="G14" i="238" a="1"/>
  <c r="G14" i="238" s="1"/>
  <c r="H14" i="238" a="1"/>
  <c r="H14" i="238" s="1"/>
  <c r="F14" i="238" a="1"/>
  <c r="F14" i="238" s="1"/>
  <c r="K16" i="361" a="1"/>
  <c r="K16" i="361" s="1"/>
  <c r="L16" i="361" a="1"/>
  <c r="L16" i="361" s="1"/>
  <c r="F16" i="361" a="1"/>
  <c r="F16" i="361" s="1"/>
  <c r="H16" i="233" a="1"/>
  <c r="H16" i="233" s="1"/>
  <c r="F16" i="233" a="1"/>
  <c r="F16" i="233" s="1"/>
  <c r="G16" i="233" a="1"/>
  <c r="G16" i="233" s="1"/>
  <c r="H13" i="235" a="1"/>
  <c r="H13" i="235" s="1"/>
  <c r="F13" i="235" a="1"/>
  <c r="F13" i="235" s="1"/>
  <c r="G13" i="235" a="1"/>
  <c r="G13" i="235" s="1"/>
  <c r="E131" i="192"/>
  <c r="P20" i="362" l="1"/>
  <c r="P60" i="362"/>
  <c r="K65" i="192"/>
  <c r="J63" i="192" s="1"/>
  <c r="J65" i="192" s="1"/>
  <c r="L108" i="192"/>
  <c r="L109" i="192" s="1"/>
  <c r="L111" i="192" s="1"/>
  <c r="L113" i="192" s="1"/>
  <c r="S13" i="237"/>
  <c r="T13" i="237" s="1"/>
  <c r="H19" i="236"/>
  <c r="L19" i="361"/>
  <c r="P18" i="237"/>
  <c r="G17" i="238"/>
  <c r="H17" i="238"/>
  <c r="H19" i="233"/>
  <c r="O18" i="237"/>
  <c r="K19" i="361"/>
  <c r="H19" i="313"/>
  <c r="G19" i="234"/>
  <c r="H19" i="234"/>
  <c r="G19" i="235"/>
  <c r="H19" i="235"/>
  <c r="G19" i="236"/>
  <c r="G19" i="313"/>
  <c r="G19" i="233"/>
  <c r="Q20" i="362"/>
  <c r="K108" i="192" l="1"/>
  <c r="K109" i="192" s="1"/>
  <c r="K111" i="192" s="1"/>
  <c r="K113" i="192" s="1"/>
  <c r="J108" i="192"/>
  <c r="J109" i="192" s="1"/>
  <c r="J111" i="192" s="1"/>
  <c r="J113" i="192" s="1"/>
  <c r="I63" i="192"/>
  <c r="I65" i="192" s="1"/>
  <c r="B63" i="192" l="1"/>
  <c r="B65" i="192" l="1"/>
  <c r="I108" i="192"/>
  <c r="I109" i="192" l="1"/>
  <c r="I111" i="192" s="1"/>
  <c r="I113" i="192" s="1"/>
  <c r="B108" i="192"/>
  <c r="F38" i="5" l="1" a="1"/>
  <c r="F38" i="5" s="1"/>
  <c r="C38" i="5" a="1"/>
  <c r="C38" i="5" s="1"/>
  <c r="D38" i="5" a="1"/>
  <c r="D38" i="5" s="1"/>
  <c r="F41" i="5" l="1"/>
  <c r="F15" i="5" s="1"/>
  <c r="F17" i="5" s="1"/>
  <c r="F22" i="5" s="1"/>
  <c r="F33" i="5" s="1"/>
  <c r="E38" i="5" a="1"/>
  <c r="E38" i="5" s="1"/>
  <c r="AE29" i="326" l="1"/>
  <c r="AH29" i="326" s="1"/>
  <c r="AE30" i="326"/>
  <c r="AH30" i="326" s="1"/>
  <c r="N12" i="326"/>
  <c r="H36" i="241" l="1"/>
  <c r="N13" i="326"/>
  <c r="N14" i="326" l="1"/>
  <c r="H37" i="241"/>
  <c r="N15" i="326" l="1"/>
  <c r="H38" i="241"/>
  <c r="H39" i="241" l="1"/>
  <c r="N20" i="326"/>
  <c r="H40" i="241" s="1"/>
  <c r="N31" i="326"/>
  <c r="N32" i="326"/>
  <c r="N21" i="326" l="1"/>
  <c r="H41" i="241"/>
  <c r="N22" i="326"/>
  <c r="H43" i="241" s="1"/>
  <c r="P43" i="241" s="1"/>
  <c r="Y23" i="326"/>
  <c r="AC23" i="326"/>
  <c r="AY32" i="326"/>
  <c r="BC32" i="326" s="1"/>
  <c r="I43" i="241" l="1"/>
  <c r="J43" i="241"/>
  <c r="H42" i="241"/>
  <c r="AE23" i="326"/>
  <c r="O47" i="362" s="1"/>
  <c r="AB23" i="326"/>
  <c r="Y24" i="326"/>
  <c r="K43" i="241" a="1"/>
  <c r="K43" i="241" s="1"/>
  <c r="N43" i="241" a="1"/>
  <c r="N43" i="241" s="1"/>
  <c r="N54" i="362"/>
  <c r="N56" i="362" s="1"/>
  <c r="M43" i="241" l="1"/>
  <c r="AI23" i="326"/>
  <c r="AC24" i="326"/>
  <c r="AE24" i="326" s="1"/>
  <c r="AJ23" i="326"/>
  <c r="K47" i="362" s="1"/>
  <c r="AF23" i="326"/>
  <c r="AH23" i="326"/>
  <c r="AB24" i="326"/>
  <c r="Y25" i="326"/>
  <c r="AF24" i="326" l="1"/>
  <c r="O48" i="362"/>
  <c r="P48" i="362" s="1"/>
  <c r="AI24" i="326"/>
  <c r="AJ24" i="326"/>
  <c r="K48" i="362" s="1"/>
  <c r="AB25" i="326"/>
  <c r="Y26" i="326"/>
  <c r="AC25" i="326"/>
  <c r="AH24" i="326"/>
  <c r="J48" i="362" l="1"/>
  <c r="I48" i="362"/>
  <c r="L48" i="362"/>
  <c r="AI25" i="326"/>
  <c r="AJ25" i="326"/>
  <c r="K49" i="362" s="1"/>
  <c r="AB26" i="326"/>
  <c r="Y27" i="326"/>
  <c r="AE25" i="326"/>
  <c r="AC26" i="326" l="1"/>
  <c r="AE26" i="326" s="1"/>
  <c r="O50" i="362" s="1"/>
  <c r="P50" i="362" s="1"/>
  <c r="O49" i="362"/>
  <c r="P49" i="362" s="1"/>
  <c r="AI26" i="326"/>
  <c r="AJ26" i="326"/>
  <c r="K50" i="362" s="1"/>
  <c r="AB27" i="326"/>
  <c r="Y28" i="326"/>
  <c r="AH25" i="326"/>
  <c r="AF25" i="326"/>
  <c r="J49" i="362" l="1"/>
  <c r="I49" i="362"/>
  <c r="L49" i="362"/>
  <c r="L50" i="362"/>
  <c r="J50" i="362"/>
  <c r="I50" i="362"/>
  <c r="AI27" i="326"/>
  <c r="AJ27" i="326"/>
  <c r="K51" i="362" s="1"/>
  <c r="AB28" i="326"/>
  <c r="AI28" i="326" s="1"/>
  <c r="Y29" i="326"/>
  <c r="AH26" i="326"/>
  <c r="AF26" i="326"/>
  <c r="AC27" i="326"/>
  <c r="Y30" i="326" l="1"/>
  <c r="AB29" i="326"/>
  <c r="AI29" i="326" s="1"/>
  <c r="AE27" i="326"/>
  <c r="O51" i="362" s="1"/>
  <c r="P51" i="362" s="1"/>
  <c r="J51" i="362" l="1"/>
  <c r="I51" i="362"/>
  <c r="L51" i="362"/>
  <c r="AB30" i="326"/>
  <c r="AI30" i="326" s="1"/>
  <c r="Y31" i="326"/>
  <c r="AF27" i="326"/>
  <c r="AC28" i="326"/>
  <c r="AE35" i="326"/>
  <c r="X40" i="326"/>
  <c r="AH27" i="326"/>
  <c r="AH35" i="326" s="1"/>
  <c r="X39" i="326"/>
  <c r="AB31" i="326" l="1"/>
  <c r="AI31" i="326" s="1"/>
  <c r="Y32" i="326"/>
  <c r="AL22" i="326" s="1"/>
  <c r="AF28" i="326"/>
  <c r="AC29" i="326"/>
  <c r="AL32" i="326"/>
  <c r="AL31" i="326"/>
  <c r="AL13" i="326" l="1"/>
  <c r="AL15" i="326"/>
  <c r="AL14" i="326"/>
  <c r="AL20" i="326"/>
  <c r="AB32" i="326"/>
  <c r="AI32" i="326" s="1"/>
  <c r="AL12" i="326"/>
  <c r="I36" i="241" s="1"/>
  <c r="M36" i="241" s="1"/>
  <c r="AL21" i="326"/>
  <c r="I42" i="241"/>
  <c r="M42" i="241" s="1"/>
  <c r="AO22" i="326"/>
  <c r="AO32" i="326"/>
  <c r="AO31" i="326"/>
  <c r="AF29" i="326"/>
  <c r="AC30" i="326"/>
  <c r="I37" i="241" l="1"/>
  <c r="M37" i="241" s="1"/>
  <c r="AO13" i="326"/>
  <c r="AO15" i="326"/>
  <c r="I39" i="241"/>
  <c r="M39" i="241" s="1"/>
  <c r="AO14" i="326"/>
  <c r="I38" i="241"/>
  <c r="M38" i="241" s="1"/>
  <c r="AO20" i="326"/>
  <c r="I40" i="241"/>
  <c r="M40" i="241" s="1"/>
  <c r="AO12" i="326"/>
  <c r="AL35" i="326"/>
  <c r="AO21" i="326"/>
  <c r="I41" i="241"/>
  <c r="M41" i="241" s="1"/>
  <c r="AF30" i="326"/>
  <c r="AC31" i="326"/>
  <c r="AF31" i="326" l="1"/>
  <c r="AC32" i="326"/>
  <c r="AF32" i="326" l="1"/>
  <c r="AM21" i="326" l="1"/>
  <c r="AM20" i="326"/>
  <c r="AM13" i="326"/>
  <c r="AM31" i="326"/>
  <c r="AM12" i="326"/>
  <c r="AM32" i="326"/>
  <c r="AM14" i="326"/>
  <c r="AM15" i="326"/>
  <c r="AM22" i="326"/>
  <c r="J37" i="241" l="1"/>
  <c r="L37" i="241" s="1"/>
  <c r="J41" i="241"/>
  <c r="L41" i="241" s="1"/>
  <c r="J42" i="241"/>
  <c r="L42" i="241" s="1"/>
  <c r="J38" i="241"/>
  <c r="L38" i="241" s="1"/>
  <c r="J39" i="241"/>
  <c r="L39" i="241" s="1"/>
  <c r="J40" i="241"/>
  <c r="L40" i="241" s="1"/>
  <c r="J36" i="241"/>
  <c r="AM35" i="326"/>
  <c r="X47" i="326" s="1"/>
  <c r="L36" i="241" l="1"/>
  <c r="L44" i="241" s="1"/>
  <c r="J44" i="241"/>
  <c r="X48" i="326"/>
  <c r="X49" i="326" s="1"/>
  <c r="AW21" i="326" l="1"/>
  <c r="AW22" i="326"/>
  <c r="AW25" i="326"/>
  <c r="AW28" i="326"/>
  <c r="AW20" i="326"/>
  <c r="AX17" i="326"/>
  <c r="AX11" i="326"/>
  <c r="AW10" i="326"/>
  <c r="AW16" i="326"/>
  <c r="BC16" i="326" s="1"/>
  <c r="AW27" i="326"/>
  <c r="AW19" i="326"/>
  <c r="BC19" i="326" s="1"/>
  <c r="AX15" i="326"/>
  <c r="AW26" i="326"/>
  <c r="BC26" i="326" s="1"/>
  <c r="AW18" i="326"/>
  <c r="BC18" i="326" s="1"/>
  <c r="AW17" i="326"/>
  <c r="BC17" i="326" s="1"/>
  <c r="AW24" i="326"/>
  <c r="AW23" i="326"/>
  <c r="AW15" i="326"/>
  <c r="AX21" i="326" l="1"/>
  <c r="BC21" i="326"/>
  <c r="BC22" i="326"/>
  <c r="AX22" i="326"/>
  <c r="AX25" i="326"/>
  <c r="BC25" i="326"/>
  <c r="BC28" i="326"/>
  <c r="AX28" i="326"/>
  <c r="AX20" i="326"/>
  <c r="BC20" i="326"/>
  <c r="AZ11" i="326"/>
  <c r="AX12" i="326"/>
  <c r="AW12" i="326"/>
  <c r="AY10" i="326"/>
  <c r="AY12" i="326" s="1"/>
  <c r="BC10" i="326"/>
  <c r="BC12" i="326" s="1"/>
  <c r="BC27" i="326"/>
  <c r="AX27" i="326"/>
  <c r="AX24" i="326"/>
  <c r="BC24" i="326"/>
  <c r="BC23" i="326"/>
  <c r="AX23" i="326"/>
  <c r="AW29" i="326"/>
  <c r="BC15" i="326"/>
  <c r="BB12" i="326" l="1"/>
  <c r="AW31" i="326"/>
  <c r="BC31" i="326" s="1"/>
  <c r="BC29" i="326"/>
  <c r="AX29" i="326"/>
  <c r="AX32" i="326" s="1"/>
  <c r="BB33" i="326" l="1"/>
  <c r="BB35" i="326" s="1"/>
  <c r="AZ32" i="326"/>
  <c r="AZ35" i="326" s="1"/>
  <c r="L43" i="241" l="1"/>
  <c r="N10" i="335" l="1"/>
  <c r="AL83" i="335"/>
  <c r="AO83" i="335" s="1"/>
  <c r="AL54" i="335"/>
  <c r="AO54" i="335" s="1"/>
  <c r="AL82" i="335"/>
  <c r="AO82" i="335" s="1"/>
  <c r="AL18" i="335"/>
  <c r="AO18" i="335" s="1"/>
  <c r="AL69" i="335"/>
  <c r="AO69" i="335" s="1"/>
  <c r="AL15" i="335"/>
  <c r="AO15" i="335" s="1"/>
  <c r="AL80" i="335"/>
  <c r="AO80" i="335" s="1"/>
  <c r="AL74" i="335"/>
  <c r="AO74" i="335" s="1"/>
  <c r="AL79" i="335"/>
  <c r="AO79" i="335" s="1"/>
  <c r="AL44" i="335"/>
  <c r="AO44" i="335" s="1"/>
  <c r="AO16" i="335"/>
  <c r="AL35" i="335"/>
  <c r="AO35" i="335" s="1"/>
  <c r="AL66" i="335"/>
  <c r="AO66" i="335" s="1"/>
  <c r="AL29" i="335"/>
  <c r="AO29" i="335" s="1"/>
  <c r="AL73" i="335"/>
  <c r="AO73" i="335" s="1"/>
  <c r="AL65" i="335"/>
  <c r="AO65" i="335" s="1"/>
  <c r="AL64" i="335"/>
  <c r="AO64" i="335" s="1"/>
  <c r="AL22" i="335"/>
  <c r="AO22" i="335" s="1"/>
  <c r="AL21" i="335"/>
  <c r="AO21" i="335" s="1"/>
  <c r="AL24" i="335"/>
  <c r="AO24" i="335" s="1"/>
  <c r="AL23" i="335"/>
  <c r="AO23" i="335" s="1"/>
  <c r="AL25" i="335"/>
  <c r="AO25" i="335" s="1"/>
  <c r="AL27" i="335"/>
  <c r="AO27" i="335" s="1"/>
  <c r="AL26" i="335"/>
  <c r="AO26" i="335" s="1"/>
  <c r="AL28" i="335"/>
  <c r="AO28" i="335" s="1"/>
  <c r="AL31" i="335"/>
  <c r="AO31" i="335" s="1"/>
  <c r="AL39" i="335"/>
  <c r="AO39" i="335" s="1"/>
  <c r="AL37" i="335"/>
  <c r="AO37" i="335" s="1"/>
  <c r="AL33" i="335"/>
  <c r="AO33" i="335" s="1"/>
  <c r="Y11" i="335"/>
  <c r="AM49" i="335"/>
  <c r="N49" i="335"/>
  <c r="AL32" i="335"/>
  <c r="AO32" i="335" s="1"/>
  <c r="AL38" i="335"/>
  <c r="AO38" i="335" s="1"/>
  <c r="AL41" i="335"/>
  <c r="AO41" i="335" s="1"/>
  <c r="AL40" i="335"/>
  <c r="AO40" i="335" s="1"/>
  <c r="AK42" i="335"/>
  <c r="AM42" i="335"/>
  <c r="AL42" i="335"/>
  <c r="AO42" i="335" s="1"/>
  <c r="N42" i="335"/>
  <c r="AL51" i="335"/>
  <c r="AO51" i="335" s="1"/>
  <c r="AL43" i="335"/>
  <c r="AO43" i="335" s="1"/>
  <c r="AL47" i="335"/>
  <c r="AO47" i="335" s="1"/>
  <c r="AL52" i="335"/>
  <c r="AO52" i="335" s="1"/>
  <c r="AL45" i="335"/>
  <c r="AO45" i="335" s="1"/>
  <c r="AL46" i="335"/>
  <c r="AO46" i="335" s="1"/>
  <c r="AL55" i="335"/>
  <c r="AO55" i="335" s="1"/>
  <c r="AL78" i="335"/>
  <c r="AO78" i="335" s="1"/>
  <c r="AL20" i="335"/>
  <c r="AO20" i="335" s="1"/>
  <c r="AL17" i="335"/>
  <c r="AO17" i="335" s="1"/>
  <c r="AK17" i="335"/>
  <c r="AK80" i="335"/>
  <c r="AM19" i="335"/>
  <c r="N55" i="335"/>
  <c r="AL56" i="335"/>
  <c r="AO56" i="335" s="1"/>
  <c r="N56" i="335"/>
  <c r="AK56" i="335"/>
  <c r="AK50" i="335"/>
  <c r="AL48" i="335"/>
  <c r="AO48" i="335" s="1"/>
  <c r="AM50" i="335"/>
  <c r="N50" i="335"/>
  <c r="AL50" i="335"/>
  <c r="AO50" i="335" s="1"/>
  <c r="AM56" i="335"/>
  <c r="AL57" i="335"/>
  <c r="AO57" i="335" s="1"/>
  <c r="AM59" i="335"/>
  <c r="AK59" i="335"/>
  <c r="AL60" i="335"/>
  <c r="AO60" i="335" s="1"/>
  <c r="AL59" i="335"/>
  <c r="AO59" i="335" s="1"/>
  <c r="N59" i="335"/>
  <c r="AK58" i="335"/>
  <c r="AK70" i="335"/>
  <c r="AL71" i="335"/>
  <c r="AO71" i="335" s="1"/>
  <c r="AM71" i="335"/>
  <c r="AM76" i="335"/>
  <c r="AL76" i="335"/>
  <c r="AO76" i="335" s="1"/>
  <c r="AM78" i="335"/>
  <c r="N78" i="335"/>
  <c r="AL34" i="335"/>
  <c r="AO34" i="335" s="1"/>
  <c r="AM34" i="335"/>
  <c r="AL30" i="335"/>
  <c r="AO30" i="335" s="1"/>
  <c r="AL36" i="335"/>
  <c r="AO36" i="335" s="1"/>
  <c r="AM20" i="335"/>
  <c r="AM69" i="335"/>
  <c r="AL84" i="335"/>
  <c r="AO84" i="335" s="1"/>
  <c r="AL19" i="335"/>
  <c r="AO19" i="335" s="1"/>
  <c r="AK19" i="335"/>
  <c r="N15" i="335"/>
  <c r="AM15" i="335"/>
  <c r="N54" i="335"/>
  <c r="AM81" i="335"/>
  <c r="N81" i="335"/>
  <c r="AL81" i="335"/>
  <c r="AO81" i="335" s="1"/>
  <c r="AK81" i="335"/>
  <c r="AL53" i="335"/>
  <c r="AO53" i="335" s="1"/>
  <c r="N75" i="335"/>
  <c r="AK63" i="335"/>
  <c r="AL49" i="335"/>
  <c r="AO49" i="335" s="1"/>
  <c r="AM74" i="335"/>
  <c r="AM83" i="335"/>
  <c r="AK10" i="335"/>
  <c r="AK83" i="335"/>
  <c r="AK54" i="335"/>
  <c r="N53" i="335"/>
  <c r="N63" i="335"/>
  <c r="N80" i="335"/>
  <c r="AM80" i="335"/>
  <c r="N74" i="335"/>
  <c r="AK74" i="335"/>
  <c r="AM16" i="335"/>
  <c r="N35" i="335"/>
  <c r="AK61" i="335"/>
  <c r="AK34" i="335"/>
  <c r="AK69" i="335"/>
  <c r="N69" i="335"/>
  <c r="AK84" i="335"/>
  <c r="N84" i="335"/>
  <c r="AM84" i="335"/>
  <c r="N19" i="335"/>
  <c r="N83" i="335"/>
  <c r="AK36" i="335"/>
  <c r="AK15" i="335"/>
  <c r="AM54" i="335"/>
  <c r="AM75" i="335"/>
  <c r="N17" i="335"/>
  <c r="AM17" i="335"/>
  <c r="AM63" i="335"/>
  <c r="AK49" i="335"/>
  <c r="AK20" i="335"/>
  <c r="AM82" i="335"/>
  <c r="AM18" i="335"/>
  <c r="N82" i="335"/>
  <c r="N66" i="335"/>
  <c r="AM29" i="335"/>
  <c r="N29" i="335"/>
  <c r="N79" i="335"/>
  <c r="AM79" i="335"/>
  <c r="AK73" i="335"/>
  <c r="N73" i="335"/>
  <c r="N65" i="335"/>
  <c r="AK64" i="335"/>
  <c r="AM64" i="335"/>
  <c r="AM44" i="335"/>
  <c r="N44" i="335"/>
  <c r="AK30" i="335"/>
  <c r="AK35" i="335"/>
  <c r="AK16" i="335"/>
  <c r="N16" i="335"/>
  <c r="AM35" i="335"/>
  <c r="N11" i="335"/>
  <c r="AK11" i="335"/>
  <c r="N22" i="335"/>
  <c r="AK18" i="335"/>
  <c r="N18" i="335"/>
  <c r="AK82" i="335"/>
  <c r="AM66" i="335"/>
  <c r="AK66" i="335"/>
  <c r="AK29" i="335"/>
  <c r="AK79" i="335"/>
  <c r="AK67" i="335"/>
  <c r="AM73" i="335"/>
  <c r="AM65" i="335"/>
  <c r="AK65" i="335"/>
  <c r="N64" i="335"/>
  <c r="AK44" i="335"/>
  <c r="N20" i="335"/>
  <c r="AM22" i="335"/>
  <c r="AK22" i="335"/>
  <c r="AK21" i="335"/>
  <c r="N21" i="335"/>
  <c r="AM21" i="335"/>
  <c r="N23" i="335"/>
  <c r="AM23" i="335"/>
  <c r="N24" i="335"/>
  <c r="AM24" i="335"/>
  <c r="AK24" i="335"/>
  <c r="AK23" i="335"/>
  <c r="AK25" i="335"/>
  <c r="AM25" i="335"/>
  <c r="N25" i="335"/>
  <c r="AK33" i="335"/>
  <c r="N27" i="335"/>
  <c r="AK27" i="335"/>
  <c r="N26" i="335"/>
  <c r="AK26" i="335"/>
  <c r="AM26" i="335"/>
  <c r="AM27" i="335"/>
  <c r="AK28" i="335"/>
  <c r="AM28" i="335"/>
  <c r="N28" i="335"/>
  <c r="N30" i="335"/>
  <c r="AK31" i="335"/>
  <c r="AM31" i="335"/>
  <c r="N39" i="335"/>
  <c r="AK39" i="335"/>
  <c r="N31" i="335"/>
  <c r="AM39" i="335"/>
  <c r="AM37" i="335"/>
  <c r="AK37" i="335"/>
  <c r="N37" i="335"/>
  <c r="AK32" i="335"/>
  <c r="N32" i="335"/>
  <c r="N36" i="335"/>
  <c r="AM32" i="335"/>
  <c r="AM33" i="335"/>
  <c r="AL11" i="335"/>
  <c r="AO11" i="335" s="1"/>
  <c r="AC11" i="335"/>
  <c r="AF11" i="335" s="1"/>
  <c r="AL75" i="335"/>
  <c r="AO75" i="335" s="1"/>
  <c r="AL63" i="335"/>
  <c r="AO63" i="335" s="1"/>
  <c r="N33" i="335"/>
  <c r="N34" i="335"/>
  <c r="N38" i="335"/>
  <c r="AK38" i="335"/>
  <c r="AM38" i="335"/>
  <c r="AK41" i="335"/>
  <c r="N40" i="335"/>
  <c r="AM40" i="335"/>
  <c r="AK40" i="335"/>
  <c r="AM41" i="335"/>
  <c r="N41" i="335"/>
  <c r="AM47" i="335"/>
  <c r="AK43" i="335"/>
  <c r="AM43" i="335"/>
  <c r="N43" i="335"/>
  <c r="N47" i="335"/>
  <c r="AK47" i="335"/>
  <c r="N51" i="335"/>
  <c r="AM51" i="335"/>
  <c r="AK51" i="335"/>
  <c r="N45" i="335"/>
  <c r="N52" i="335"/>
  <c r="AM45" i="335"/>
  <c r="AM52" i="335"/>
  <c r="AK45" i="335"/>
  <c r="AK52" i="335"/>
  <c r="AM55" i="335"/>
  <c r="AK46" i="335"/>
  <c r="N46" i="335"/>
  <c r="AK55" i="335"/>
  <c r="AM46" i="335"/>
  <c r="AM68" i="335"/>
  <c r="N68" i="335"/>
  <c r="AL68" i="335"/>
  <c r="AO68" i="335" s="1"/>
  <c r="AK71" i="335"/>
  <c r="N71" i="335"/>
  <c r="AM72" i="335"/>
  <c r="AL72" i="335"/>
  <c r="AO72" i="335" s="1"/>
  <c r="AK72" i="335"/>
  <c r="AK76" i="335"/>
  <c r="N76" i="335"/>
  <c r="N77" i="335"/>
  <c r="AM77" i="335"/>
  <c r="AL77" i="335"/>
  <c r="AO77" i="335" s="1"/>
  <c r="AK78" i="335"/>
  <c r="AM30" i="335"/>
  <c r="AM36" i="335"/>
  <c r="AM11" i="335"/>
  <c r="AM53" i="335"/>
  <c r="AK53" i="335"/>
  <c r="AK75" i="335"/>
  <c r="N48" i="335"/>
  <c r="AK48" i="335"/>
  <c r="AM48" i="335"/>
  <c r="AM57" i="335"/>
  <c r="N57" i="335"/>
  <c r="AK57" i="335"/>
  <c r="AM60" i="335"/>
  <c r="N60" i="335"/>
  <c r="AK60" i="335"/>
  <c r="AK62" i="335"/>
  <c r="AK68" i="335"/>
  <c r="N72" i="335"/>
  <c r="AK77" i="335"/>
  <c r="AB11" i="335" l="1"/>
  <c r="AI11" i="335" l="1"/>
  <c r="N12" i="335" l="1"/>
  <c r="AK12" i="335"/>
  <c r="N14" i="335" l="1"/>
  <c r="AK14" i="335"/>
  <c r="N13" i="335" l="1"/>
  <c r="H24" i="241" s="1"/>
  <c r="AK13" i="335"/>
  <c r="N58" i="335" l="1"/>
  <c r="N61" i="335" s="1"/>
  <c r="N62" i="335" s="1"/>
  <c r="AC16" i="335"/>
  <c r="Y16" i="335"/>
  <c r="Y20" i="335" l="1"/>
  <c r="AE16" i="335"/>
  <c r="AB16" i="335"/>
  <c r="N67" i="335"/>
  <c r="N70" i="335" s="1"/>
  <c r="O27" i="362" l="1"/>
  <c r="P27" i="362" s="1"/>
  <c r="L27" i="362" s="1"/>
  <c r="AB20" i="335"/>
  <c r="AI20" i="335" s="1"/>
  <c r="Y26" i="335"/>
  <c r="AI16" i="335"/>
  <c r="AJ16" i="335"/>
  <c r="AE104" i="335"/>
  <c r="AF16" i="335"/>
  <c r="AH16" i="335"/>
  <c r="AH104" i="335" s="1"/>
  <c r="AC20" i="335"/>
  <c r="H28" i="241"/>
  <c r="P28" i="241" s="1"/>
  <c r="AY31" i="335"/>
  <c r="BC31" i="335" s="1"/>
  <c r="H31" i="241"/>
  <c r="P31" i="241" s="1"/>
  <c r="J31" i="241"/>
  <c r="AL110" i="335"/>
  <c r="H30" i="241"/>
  <c r="P30" i="241" s="1"/>
  <c r="H29" i="241"/>
  <c r="P29" i="241" s="1"/>
  <c r="N103" i="335" a="1"/>
  <c r="H25" i="241"/>
  <c r="AL111" i="335"/>
  <c r="H26" i="241"/>
  <c r="AN110" i="335"/>
  <c r="AN112" i="335"/>
  <c r="I30" i="241"/>
  <c r="AN111" i="335"/>
  <c r="AK111" i="335"/>
  <c r="AM111" i="335"/>
  <c r="AL113" i="335"/>
  <c r="AM112" i="335"/>
  <c r="AK112" i="335"/>
  <c r="AK110" i="335"/>
  <c r="AN113" i="335"/>
  <c r="AM110" i="335"/>
  <c r="AL112" i="335"/>
  <c r="I31" i="241"/>
  <c r="H27" i="241"/>
  <c r="AK113" i="335"/>
  <c r="J30" i="241"/>
  <c r="AM113" i="335"/>
  <c r="O54" i="362" l="1"/>
  <c r="P47" i="362"/>
  <c r="AJ104" i="335"/>
  <c r="K27" i="362"/>
  <c r="AN109" i="335"/>
  <c r="AK109" i="335"/>
  <c r="AN108" i="335"/>
  <c r="AK108" i="335"/>
  <c r="Y28" i="335"/>
  <c r="AB26" i="335"/>
  <c r="AF20" i="335"/>
  <c r="AC26" i="335"/>
  <c r="AE26" i="335" s="1"/>
  <c r="O28" i="362" s="1"/>
  <c r="P28" i="362" s="1"/>
  <c r="L28" i="362" s="1"/>
  <c r="AK107" i="335"/>
  <c r="AN107" i="335"/>
  <c r="N31" i="241" a="1"/>
  <c r="N31" i="241" s="1"/>
  <c r="K31" i="241" a="1"/>
  <c r="K31" i="241" s="1"/>
  <c r="M31" i="241" s="1"/>
  <c r="L31" i="241" s="1"/>
  <c r="N28" i="241" a="1"/>
  <c r="N28" i="241" s="1"/>
  <c r="K28" i="241" a="1"/>
  <c r="K28" i="241" s="1"/>
  <c r="K30" i="241" a="1"/>
  <c r="K30" i="241" s="1"/>
  <c r="M30" i="241" s="1"/>
  <c r="L30" i="241" s="1"/>
  <c r="N30" i="241" a="1"/>
  <c r="N30" i="241" s="1"/>
  <c r="N29" i="241" a="1"/>
  <c r="N29" i="241" s="1"/>
  <c r="K29" i="241" a="1"/>
  <c r="K29" i="241" s="1"/>
  <c r="AK106" i="335"/>
  <c r="N103" i="335"/>
  <c r="AN105" i="335"/>
  <c r="AN106" i="335"/>
  <c r="AK105" i="335"/>
  <c r="AK104" i="335"/>
  <c r="AN104" i="335"/>
  <c r="J27" i="362"/>
  <c r="I27" i="362"/>
  <c r="P54" i="362" l="1"/>
  <c r="I47" i="362"/>
  <c r="I54" i="362" s="1"/>
  <c r="J47" i="362"/>
  <c r="J54" i="362" s="1"/>
  <c r="L47" i="362"/>
  <c r="AJ26" i="335"/>
  <c r="AI26" i="335"/>
  <c r="AB28" i="335"/>
  <c r="Y31" i="335"/>
  <c r="AH26" i="335"/>
  <c r="AE105" i="335"/>
  <c r="AF26" i="335"/>
  <c r="AC28" i="335"/>
  <c r="AJ105" i="335" l="1"/>
  <c r="K28" i="362"/>
  <c r="AI28" i="335"/>
  <c r="AJ28" i="335"/>
  <c r="AB31" i="335"/>
  <c r="Y32" i="335"/>
  <c r="AH105" i="335"/>
  <c r="AE28" i="335"/>
  <c r="AF28" i="335" l="1"/>
  <c r="O29" i="362"/>
  <c r="P29" i="362" s="1"/>
  <c r="L29" i="362" s="1"/>
  <c r="AJ106" i="335"/>
  <c r="K29" i="362"/>
  <c r="AI31" i="335"/>
  <c r="AJ31" i="335"/>
  <c r="Y37" i="335"/>
  <c r="AB32" i="335"/>
  <c r="AC31" i="335"/>
  <c r="AH28" i="335"/>
  <c r="AE106" i="335"/>
  <c r="AJ107" i="335" l="1"/>
  <c r="K30" i="362"/>
  <c r="AI32" i="335"/>
  <c r="AJ32" i="335"/>
  <c r="Y38" i="335"/>
  <c r="AB37" i="335"/>
  <c r="J28" i="362"/>
  <c r="I28" i="362"/>
  <c r="AE31" i="335"/>
  <c r="AH106" i="335"/>
  <c r="AF31" i="335" l="1"/>
  <c r="O30" i="362"/>
  <c r="P30" i="362" s="1"/>
  <c r="L30" i="362" s="1"/>
  <c r="AJ108" i="335"/>
  <c r="K31" i="362"/>
  <c r="AI37" i="335"/>
  <c r="AJ37" i="335"/>
  <c r="AB38" i="335"/>
  <c r="Y40" i="335"/>
  <c r="AC32" i="335"/>
  <c r="AH31" i="335"/>
  <c r="AE107" i="335"/>
  <c r="AJ109" i="335" l="1"/>
  <c r="K32" i="362"/>
  <c r="AJ38" i="335"/>
  <c r="AI38" i="335"/>
  <c r="Y43" i="335"/>
  <c r="AB40" i="335"/>
  <c r="AE32" i="335"/>
  <c r="AH107" i="335"/>
  <c r="J29" i="362"/>
  <c r="I29" i="362"/>
  <c r="AF32" i="335" l="1"/>
  <c r="O31" i="362"/>
  <c r="P31" i="362" s="1"/>
  <c r="L31" i="362" s="1"/>
  <c r="AJ110" i="335"/>
  <c r="K33" i="362"/>
  <c r="AI40" i="335"/>
  <c r="AJ40" i="335"/>
  <c r="AB43" i="335"/>
  <c r="Y45" i="335"/>
  <c r="AC37" i="335"/>
  <c r="AH32" i="335"/>
  <c r="AH108" i="335" s="1"/>
  <c r="AE108" i="335"/>
  <c r="AJ111" i="335" l="1"/>
  <c r="K34" i="362"/>
  <c r="AJ43" i="335"/>
  <c r="AI43" i="335"/>
  <c r="Y46" i="335"/>
  <c r="AB45" i="335"/>
  <c r="AE37" i="335"/>
  <c r="I31" i="362"/>
  <c r="J31" i="362"/>
  <c r="I30" i="362"/>
  <c r="J30" i="362"/>
  <c r="AF37" i="335" l="1"/>
  <c r="O32" i="362"/>
  <c r="P32" i="362" s="1"/>
  <c r="L32" i="362" s="1"/>
  <c r="AJ112" i="335"/>
  <c r="K35" i="362"/>
  <c r="AJ45" i="335"/>
  <c r="AI45" i="335"/>
  <c r="AB46" i="335"/>
  <c r="Y48" i="335"/>
  <c r="AC38" i="335"/>
  <c r="AH37" i="335"/>
  <c r="AH109" i="335" s="1"/>
  <c r="AE109" i="335"/>
  <c r="AJ113" i="335" l="1"/>
  <c r="K36" i="362"/>
  <c r="AJ46" i="335"/>
  <c r="AI46" i="335"/>
  <c r="AB48" i="335"/>
  <c r="Y50" i="335"/>
  <c r="AE38" i="335"/>
  <c r="J32" i="362"/>
  <c r="I32" i="362"/>
  <c r="AF38" i="335" l="1"/>
  <c r="O33" i="362"/>
  <c r="P33" i="362" s="1"/>
  <c r="L33" i="362" s="1"/>
  <c r="AJ114" i="335"/>
  <c r="K37" i="362"/>
  <c r="AB50" i="335"/>
  <c r="Y56" i="335"/>
  <c r="AI48" i="335"/>
  <c r="AJ48" i="335"/>
  <c r="AC40" i="335"/>
  <c r="AH38" i="335"/>
  <c r="AH110" i="335" s="1"/>
  <c r="AE110" i="335"/>
  <c r="AJ115" i="335" l="1"/>
  <c r="K38" i="362"/>
  <c r="AI50" i="335"/>
  <c r="AJ50" i="335"/>
  <c r="AB56" i="335"/>
  <c r="AI56" i="335" s="1"/>
  <c r="Y59" i="335"/>
  <c r="AE40" i="335"/>
  <c r="J33" i="362"/>
  <c r="I33" i="362"/>
  <c r="AF40" i="335" l="1"/>
  <c r="O34" i="362"/>
  <c r="P34" i="362" s="1"/>
  <c r="L34" i="362" s="1"/>
  <c r="AJ116" i="335"/>
  <c r="K39" i="362"/>
  <c r="AB59" i="335"/>
  <c r="Y60" i="335"/>
  <c r="AC43" i="335"/>
  <c r="AE111" i="335"/>
  <c r="AH40" i="335"/>
  <c r="AH111" i="335" s="1"/>
  <c r="AI59" i="335" l="1"/>
  <c r="AJ59" i="335"/>
  <c r="AB60" i="335"/>
  <c r="Y65" i="335"/>
  <c r="AE43" i="335"/>
  <c r="I34" i="362"/>
  <c r="J34" i="362"/>
  <c r="AF43" i="335" l="1"/>
  <c r="O35" i="362"/>
  <c r="P35" i="362" s="1"/>
  <c r="L35" i="362" s="1"/>
  <c r="AJ117" i="335"/>
  <c r="K40" i="362"/>
  <c r="AI60" i="335"/>
  <c r="AJ60" i="335"/>
  <c r="Y67" i="335"/>
  <c r="AB65" i="335"/>
  <c r="AI65" i="335" s="1"/>
  <c r="AC45" i="335"/>
  <c r="AE112" i="335"/>
  <c r="AH43" i="335"/>
  <c r="AH112" i="335" s="1"/>
  <c r="AJ118" i="335" l="1"/>
  <c r="K41" i="362"/>
  <c r="K43" i="362" s="1"/>
  <c r="Y70" i="335"/>
  <c r="AB70" i="335" s="1"/>
  <c r="AI70" i="335" s="1"/>
  <c r="AB67" i="335"/>
  <c r="AI67" i="335" s="1"/>
  <c r="AE45" i="335"/>
  <c r="I35" i="362"/>
  <c r="J35" i="362"/>
  <c r="AF45" i="335" l="1"/>
  <c r="O36" i="362"/>
  <c r="P36" i="362" s="1"/>
  <c r="L36" i="362" s="1"/>
  <c r="AC46" i="335"/>
  <c r="AH45" i="335"/>
  <c r="AH113" i="335" s="1"/>
  <c r="AE113" i="335"/>
  <c r="AE46" i="335" l="1"/>
  <c r="J36" i="362"/>
  <c r="I36" i="362"/>
  <c r="AF46" i="335" l="1"/>
  <c r="O37" i="362"/>
  <c r="P37" i="362" s="1"/>
  <c r="L37" i="362" s="1"/>
  <c r="AC48" i="335"/>
  <c r="AH46" i="335"/>
  <c r="AH114" i="335" s="1"/>
  <c r="AE114" i="335"/>
  <c r="AE48" i="335" l="1"/>
  <c r="J37" i="362"/>
  <c r="I37" i="362"/>
  <c r="AF48" i="335" l="1"/>
  <c r="O38" i="362"/>
  <c r="P38" i="362" s="1"/>
  <c r="L38" i="362" s="1"/>
  <c r="AC50" i="335"/>
  <c r="AE115" i="335"/>
  <c r="AH48" i="335"/>
  <c r="AH115" i="335" s="1"/>
  <c r="AE50" i="335" l="1"/>
  <c r="J38" i="362"/>
  <c r="I38" i="362"/>
  <c r="AF50" i="335" l="1"/>
  <c r="O39" i="362"/>
  <c r="P39" i="362" s="1"/>
  <c r="L39" i="362" s="1"/>
  <c r="AC56" i="335"/>
  <c r="AH50" i="335"/>
  <c r="AH116" i="335" s="1"/>
  <c r="AE116" i="335"/>
  <c r="AF56" i="335" l="1"/>
  <c r="AC59" i="335"/>
  <c r="I39" i="362"/>
  <c r="J39" i="362"/>
  <c r="AE59" i="335" l="1"/>
  <c r="AF59" i="335" l="1"/>
  <c r="O40" i="362"/>
  <c r="P40" i="362" s="1"/>
  <c r="L40" i="362" s="1"/>
  <c r="AC60" i="335"/>
  <c r="AH59" i="335"/>
  <c r="AH117" i="335" s="1"/>
  <c r="AE117" i="335"/>
  <c r="AE60" i="335" l="1"/>
  <c r="I40" i="362"/>
  <c r="J40" i="362"/>
  <c r="AF60" i="335" l="1"/>
  <c r="O41" i="362"/>
  <c r="P41" i="362" s="1"/>
  <c r="L41" i="362" s="1"/>
  <c r="X90" i="335"/>
  <c r="AE85" i="335"/>
  <c r="X89" i="335"/>
  <c r="AC65" i="335"/>
  <c r="AE118" i="335"/>
  <c r="AH60" i="335"/>
  <c r="AL12" i="335" l="1"/>
  <c r="AO12" i="335" s="1"/>
  <c r="AL14" i="335"/>
  <c r="AO14" i="335" s="1"/>
  <c r="AL61" i="335"/>
  <c r="AO61" i="335" s="1"/>
  <c r="AL58" i="335"/>
  <c r="AO58" i="335" s="1"/>
  <c r="AL13" i="335"/>
  <c r="AO13" i="335" s="1"/>
  <c r="AL62" i="335"/>
  <c r="AL67" i="335"/>
  <c r="AL70" i="335"/>
  <c r="AC67" i="335"/>
  <c r="AF65" i="335"/>
  <c r="AE178" i="335"/>
  <c r="AH85" i="335"/>
  <c r="AH118" i="335"/>
  <c r="AH178" i="335" s="1"/>
  <c r="I29" i="241" l="1"/>
  <c r="M29" i="241" s="1"/>
  <c r="AL109" i="335"/>
  <c r="I28" i="241"/>
  <c r="M28" i="241" s="1"/>
  <c r="AL108" i="335"/>
  <c r="I27" i="241"/>
  <c r="M27" i="241" s="1"/>
  <c r="AL107" i="335"/>
  <c r="AO62" i="335"/>
  <c r="AL104" i="335"/>
  <c r="AO67" i="335"/>
  <c r="I25" i="241"/>
  <c r="M25" i="241" s="1"/>
  <c r="AL105" i="335"/>
  <c r="AO70" i="335"/>
  <c r="I26" i="241"/>
  <c r="M26" i="241" s="1"/>
  <c r="AL106" i="335"/>
  <c r="AF67" i="335"/>
  <c r="AC70" i="335"/>
  <c r="O43" i="362"/>
  <c r="O56" i="362" s="1"/>
  <c r="P43" i="362" l="1"/>
  <c r="P56" i="362" s="1"/>
  <c r="P62" i="362" s="1"/>
  <c r="J41" i="362"/>
  <c r="J43" i="362" s="1"/>
  <c r="I41" i="362"/>
  <c r="I43" i="362" s="1"/>
  <c r="AF70" i="335"/>
  <c r="AM70" i="335"/>
  <c r="L56" i="362" l="1"/>
  <c r="AM12" i="335"/>
  <c r="AM61" i="335"/>
  <c r="AM58" i="335"/>
  <c r="AM62" i="335"/>
  <c r="J29" i="241"/>
  <c r="L29" i="241" s="1"/>
  <c r="AM109" i="335"/>
  <c r="AM14" i="335"/>
  <c r="AM67" i="335"/>
  <c r="AM13" i="335"/>
  <c r="J28" i="241" l="1"/>
  <c r="L28" i="241" s="1"/>
  <c r="AM108" i="335"/>
  <c r="J27" i="241"/>
  <c r="L27" i="241" s="1"/>
  <c r="AM107" i="335"/>
  <c r="J25" i="241"/>
  <c r="L25" i="241" s="1"/>
  <c r="AM105" i="335"/>
  <c r="J26" i="241"/>
  <c r="AM106" i="335"/>
  <c r="AM104" i="335"/>
  <c r="AM178" i="335" l="1"/>
  <c r="L26" i="241"/>
  <c r="AM10" i="335" l="1"/>
  <c r="AM85" i="335" s="1"/>
  <c r="X97" i="335" s="1"/>
  <c r="AL10" i="335"/>
  <c r="I24" i="241"/>
  <c r="M24" i="241" s="1"/>
  <c r="M32" i="241" s="1"/>
  <c r="J24" i="241"/>
  <c r="J32" i="241" s="1"/>
  <c r="J51" i="241" s="1"/>
  <c r="AO10" i="335" l="1"/>
  <c r="AL85" i="335"/>
  <c r="L24" i="241"/>
  <c r="X98" i="335"/>
  <c r="AX16" i="335" s="1"/>
  <c r="AW20" i="335" l="1"/>
  <c r="AW15" i="335"/>
  <c r="BC15" i="335" s="1"/>
  <c r="AW27" i="335"/>
  <c r="AW9" i="335"/>
  <c r="L32" i="241"/>
  <c r="M44" i="241"/>
  <c r="M51" i="241" s="1"/>
  <c r="AX10" i="335"/>
  <c r="AW26" i="335"/>
  <c r="AW19" i="335"/>
  <c r="AW18" i="335"/>
  <c r="BC18" i="335" s="1"/>
  <c r="AW25" i="335"/>
  <c r="BC25" i="335" s="1"/>
  <c r="AW21" i="335"/>
  <c r="AW24" i="335"/>
  <c r="AW16" i="335"/>
  <c r="BC16" i="335" s="1"/>
  <c r="AW22" i="335"/>
  <c r="X5" i="335"/>
  <c r="AW17" i="335"/>
  <c r="BC17" i="335" s="1"/>
  <c r="AW14" i="335"/>
  <c r="AW23" i="335"/>
  <c r="AX14" i="335"/>
  <c r="X99" i="335"/>
  <c r="BC20" i="335" l="1"/>
  <c r="AX20" i="335"/>
  <c r="AX27" i="335"/>
  <c r="BC27" i="335"/>
  <c r="AY9" i="335"/>
  <c r="AY11" i="335" s="1"/>
  <c r="AW11" i="335"/>
  <c r="BC9" i="335"/>
  <c r="BC11" i="335" s="1"/>
  <c r="AZ10" i="335"/>
  <c r="AX11" i="335"/>
  <c r="BC26" i="335"/>
  <c r="AX26" i="335"/>
  <c r="BC19" i="335"/>
  <c r="AX19" i="335"/>
  <c r="BC21" i="335"/>
  <c r="AX21" i="335"/>
  <c r="BC24" i="335"/>
  <c r="AX24" i="335"/>
  <c r="AX22" i="335"/>
  <c r="BC22" i="335"/>
  <c r="AW28" i="335"/>
  <c r="BC14" i="335"/>
  <c r="AX23" i="335"/>
  <c r="BC23" i="335"/>
  <c r="AW30" i="335" l="1"/>
  <c r="BC30" i="335" s="1"/>
  <c r="BB11" i="335"/>
  <c r="AX28" i="335"/>
  <c r="AX31" i="335" s="1"/>
  <c r="BC28" i="335"/>
  <c r="AZ31" i="335" l="1"/>
  <c r="AZ34" i="335" s="1"/>
  <c r="BB32" i="335"/>
  <c r="BB34" i="335"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5F216156-B642-4CD8-B28A-38EDE5DCBFF8}" keepAlive="1" name="Query - DE_ALL" description="Connection to the 'DE_ALL' query in the workbook." type="5" refreshedVersion="8" background="1" saveData="1">
    <dbPr connection="Provider=Microsoft.Mashup.OleDb.1;Data Source=$Workbook$;Location=DE_ALL;Extended Properties=&quot;&quot;" command="SELECT * FROM [DE_ALL]"/>
  </connection>
  <connection id="2" xr16:uid="{AB607D1C-DB1C-47B7-BE5D-83415EA25D64}" keepAlive="1" name="Query - DE_BF" description="Connection to the 'DE_BF' query in the workbook." type="5" refreshedVersion="8" background="1" saveData="1">
    <dbPr connection="Provider=Microsoft.Mashup.OleDb.1;Data Source=$Workbook$;Location=DE_BF;Extended Properties=&quot;&quot;" command="SELECT * FROM [DE_BF]"/>
  </connection>
  <connection id="3" xr16:uid="{FCC69EB8-9B3D-4D37-8C5F-2B20B3B5CA74}" keepAlive="1" name="Query - DE_BKCDN" description="Connection to the 'DE_BKCDN' query in the workbook." type="5" refreshedVersion="0" background="1">
    <dbPr connection="Provider=Microsoft.Mashup.OleDb.1;Data Source=$Workbook$;Location=DE_BKCDN;Extended Properties=&quot;&quot;" command="SELECT * FROM [DE_BKCDN]"/>
  </connection>
  <connection id="4" xr16:uid="{B78B70EB-3063-4A20-8D0A-135EC63A425D}" keepAlive="1" name="Query - DE_BKUS" description="Connection to the 'DE_BKUS' query in the workbook." type="5" refreshedVersion="0" background="1">
    <dbPr connection="Provider=Microsoft.Mashup.OleDb.1;Data Source=$Workbook$;Location=DE_BKUS;Extended Properties=&quot;&quot;" command="SELECT * FROM [DE_BKUS]"/>
  </connection>
  <connection id="5" xr16:uid="{A43B2001-0106-46F5-81D1-5E0E05ABF472}" keepAlive="1" name="Query - DE_CCJ" description="Connection to the 'DE_CCJ' query in the workbook." type="5" refreshedVersion="8" background="1" saveData="1">
    <dbPr connection="Provider=Microsoft.Mashup.OleDb.1;Data Source=$Workbook$;Location=DE_CCJ;Extended Properties=&quot;&quot;" command="SELECT * FROM [DE_CCJ]"/>
  </connection>
  <connection id="6" xr16:uid="{5F6D1988-3E80-44C8-BF85-ED1E04B34B9E}" keepAlive="1" name="Query - DE_CD" description="Connection to the 'DE_CD' query in the workbook." type="5" refreshedVersion="0" background="1" saveData="1">
    <dbPr connection="Provider=Microsoft.Mashup.OleDb.1;Data Source=$Workbook$;Location=DE_CD;Extended Properties=&quot;&quot;" command="SELECT * FROM [DE_CD]"/>
  </connection>
  <connection id="7" xr16:uid="{4BC2D912-9EB0-4455-BE35-2A23C6333C20}" keepAlive="1" name="Query - DE_CR" description="Connection to the 'DE_CR' query in the workbook." type="5" refreshedVersion="8" background="1" saveData="1">
    <dbPr connection="Provider=Microsoft.Mashup.OleDb.1;Data Source=$Workbook$;Location=DE_CR;Extended Properties=&quot;&quot;" command="SELECT * FROM [DE_CR]"/>
  </connection>
  <connection id="8" xr16:uid="{F3607DF6-E7B9-4131-A77E-FFD773431EC0}" keepAlive="1" name="Query - DE_JE" description="Connection to the 'DE_JE' query in the workbook." type="5" refreshedVersion="8" background="1" saveData="1">
    <dbPr connection="Provider=Microsoft.Mashup.OleDb.1;Data Source=$Workbook$;Location=DE_JE;Extended Properties=&quot;&quot;" command="SELECT * FROM [DE_JE]"/>
  </connection>
  <connection id="9" xr16:uid="{4B5E6151-C6F3-49C9-A8FD-14DFA5313009}" keepAlive="1" name="Query - DE_PJ" description="Connection to the 'DE_PJ' query in the workbook." type="5" refreshedVersion="0" background="1">
    <dbPr connection="Provider=Microsoft.Mashup.OleDb.1;Data Source=$Workbook$;Location=DE_PJ;Extended Properties=&quot;&quot;" command="SELECT * FROM [DE_PJ]"/>
  </connection>
  <connection id="10" xr16:uid="{E128E521-C4A0-40E9-AC2A-AE8888C60BA9}" keepAlive="1" name="Query - DE_SJ" description="Connection to the 'DE_SJ' query in the workbook." type="5" refreshedVersion="0" background="1" saveData="1">
    <dbPr connection="Provider=Microsoft.Mashup.OleDb.1;Data Source=$Workbook$;Location=DE_SJ;Extended Properties=&quot;&quot;" command="SELECT * FROM [DE_SJ]"/>
  </connection>
  <connection id="11" xr16:uid="{8096DDE9-1776-463B-9D39-79819DF1832E}" keepAlive="1" name="Query - DE_WJ" description="Connection to the 'DE_WJ' query in the workbook." type="5" refreshedVersion="0" background="1">
    <dbPr connection="Provider=Microsoft.Mashup.OleDb.1;Data Source=$Workbook$;Location=DE_WJ;Extended Properties=&quot;&quot;" command="SELECT * FROM [DE_WJ]"/>
  </connection>
  <connection id="12" xr16:uid="{59F5AA3D-6684-4D74-8969-6C1DBD2C904E}" keepAlive="1" name="Query - M_COA" description="Connection to the 'M_COA' query in the workbook." type="5" refreshedVersion="0" background="1">
    <dbPr connection="Provider=Microsoft.Mashup.OleDb.1;Data Source=$Workbook$;Location=M_COA;Extended Properties=&quot;&quot;" command="SELECT * FROM [M_COA]"/>
  </connection>
  <connection id="13" xr16:uid="{C9EFF245-A56A-49D1-B4A9-5EFC6F068230}" keepAlive="1" name="Query - P_PJ" description="Connection to the 'P_PJ' query in the workbook." type="5" refreshedVersion="8" background="1" saveData="1">
    <dbPr connection="Provider=Microsoft.Mashup.OleDb.1;Data Source=$Workbook$;Location=P_PJ;Extended Properties=&quot;&quot;" command="SELECT * FROM [P_PJ]"/>
  </connection>
  <connection id="14" xr16:uid="{5CB90CA1-541A-429F-B146-551C6327B0AF}" keepAlive="1" name="Query - R_GL" description="Connection to the 'R_GL' query in the workbook." type="5" refreshedVersion="8" background="1" saveData="1">
    <dbPr connection="Provider=Microsoft.Mashup.OleDb.1;Data Source=$Workbook$;Location=R_GL;Extended Properties=&quot;&quot;" command="SELECT * FROM [R_GL]"/>
  </connection>
  <connection id="15" xr16:uid="{26E971CF-4C73-44F4-88BC-955275C2C39E}" keepAlive="1" name="Query - TB_FS" description="Connection to the 'TB_FS' query in the workbook." type="5" refreshedVersion="8" background="1" saveData="1">
    <dbPr connection="Provider=Microsoft.Mashup.OleDb.1;Data Source=$Workbook$;Location=TB_FS;Extended Properties=&quot;&quot;" command="SELECT * FROM [TB_FS]"/>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3">
    <bk>
      <extLst>
        <ext uri="{3e2802c4-a4d2-4d8b-9148-e3be6c30e623}">
          <xlrd:rvb i="1"/>
        </ext>
      </extLst>
    </bk>
    <bk>
      <extLst>
        <ext uri="{3e2802c4-a4d2-4d8b-9148-e3be6c30e623}">
          <xlrd:rvb i="4"/>
        </ext>
      </extLst>
    </bk>
    <bk>
      <extLst>
        <ext uri="{3e2802c4-a4d2-4d8b-9148-e3be6c30e623}">
          <xlrd:rvb i="6"/>
        </ext>
      </extLst>
    </bk>
    <bk>
      <extLst>
        <ext uri="{3e2802c4-a4d2-4d8b-9148-e3be6c30e623}">
          <xlrd:rvb i="9"/>
        </ext>
      </extLst>
    </bk>
    <bk>
      <extLst>
        <ext uri="{3e2802c4-a4d2-4d8b-9148-e3be6c30e623}">
          <xlrd:rvb i="12"/>
        </ext>
      </extLst>
    </bk>
    <bk>
      <extLst>
        <ext uri="{3e2802c4-a4d2-4d8b-9148-e3be6c30e623}">
          <xlrd:rvb i="15"/>
        </ext>
      </extLst>
    </bk>
    <bk>
      <extLst>
        <ext uri="{3e2802c4-a4d2-4d8b-9148-e3be6c30e623}">
          <xlrd:rvb i="18"/>
        </ext>
      </extLst>
    </bk>
    <bk>
      <extLst>
        <ext uri="{3e2802c4-a4d2-4d8b-9148-e3be6c30e623}">
          <xlrd:rvb i="21"/>
        </ext>
      </extLst>
    </bk>
    <bk>
      <extLst>
        <ext uri="{3e2802c4-a4d2-4d8b-9148-e3be6c30e623}">
          <xlrd:rvb i="28"/>
        </ext>
      </extLst>
    </bk>
    <bk>
      <extLst>
        <ext uri="{3e2802c4-a4d2-4d8b-9148-e3be6c30e623}">
          <xlrd:rvb i="31"/>
        </ext>
      </extLst>
    </bk>
    <bk>
      <extLst>
        <ext uri="{3e2802c4-a4d2-4d8b-9148-e3be6c30e623}">
          <xlrd:rvb i="34"/>
        </ext>
      </extLst>
    </bk>
    <bk>
      <extLst>
        <ext uri="{3e2802c4-a4d2-4d8b-9148-e3be6c30e623}">
          <xlrd:rvb i="36"/>
        </ext>
      </extLst>
    </bk>
    <bk>
      <extLst>
        <ext uri="{3e2802c4-a4d2-4d8b-9148-e3be6c30e623}">
          <xlrd:rvb i="37"/>
        </ext>
      </extLst>
    </bk>
  </futureMetadata>
  <cellMetadata count="1">
    <bk>
      <rc t="1" v="0"/>
    </bk>
  </cellMetadata>
  <valueMetadata count="13">
    <bk>
      <rc t="2" v="0"/>
    </bk>
    <bk>
      <rc t="2" v="1"/>
    </bk>
    <bk>
      <rc t="2" v="2"/>
    </bk>
    <bk>
      <rc t="2" v="3"/>
    </bk>
    <bk>
      <rc t="2" v="4"/>
    </bk>
    <bk>
      <rc t="2" v="5"/>
    </bk>
    <bk>
      <rc t="2" v="6"/>
    </bk>
    <bk>
      <rc t="2" v="7"/>
    </bk>
    <bk>
      <rc t="2" v="8"/>
    </bk>
    <bk>
      <rc t="2" v="9"/>
    </bk>
    <bk>
      <rc t="2" v="10"/>
    </bk>
    <bk>
      <rc t="2" v="11"/>
    </bk>
    <bk>
      <rc t="2" v="12"/>
    </bk>
  </valueMetadata>
</metadata>
</file>

<file path=xl/sharedStrings.xml><?xml version="1.0" encoding="utf-8"?>
<sst xmlns="http://schemas.openxmlformats.org/spreadsheetml/2006/main" count="6179" uniqueCount="1685">
  <si>
    <t xml:space="preserve"> </t>
  </si>
  <si>
    <t xml:space="preserve">  </t>
  </si>
  <si>
    <t>H</t>
  </si>
  <si>
    <t>B</t>
  </si>
  <si>
    <t>S</t>
  </si>
  <si>
    <t>O/E</t>
  </si>
  <si>
    <t>SOURCE</t>
  </si>
  <si>
    <t>DATE</t>
  </si>
  <si>
    <t>REF</t>
  </si>
  <si>
    <t>PARTICULARS</t>
  </si>
  <si>
    <t>ACCOUNT</t>
  </si>
  <si>
    <t>QTY</t>
  </si>
  <si>
    <t>OPENING
BALANCES</t>
  </si>
  <si>
    <t>AMOUNT</t>
  </si>
  <si>
    <t>SHARES
BOUGHT</t>
  </si>
  <si>
    <t>PREVIOUS
UNITS</t>
  </si>
  <si>
    <t>TOTAL
SHARES</t>
  </si>
  <si>
    <t>ACB
OF BUYS</t>
  </si>
  <si>
    <t>PRIOR
ACB</t>
  </si>
  <si>
    <t>SHARES 
SOLD</t>
  </si>
  <si>
    <t>DATE
PURCHASED</t>
  </si>
  <si>
    <t>GAINS
(lOSSES)</t>
  </si>
  <si>
    <t>DAYS
HELD</t>
  </si>
  <si>
    <t>O</t>
  </si>
  <si>
    <t>1119 Bank Transfer Account</t>
  </si>
  <si>
    <t>PROOF</t>
  </si>
  <si>
    <t>ACB</t>
  </si>
  <si>
    <t>MKT</t>
  </si>
  <si>
    <t/>
  </si>
  <si>
    <t>NAME</t>
  </si>
  <si>
    <t>Dividends</t>
  </si>
  <si>
    <t>Column12</t>
  </si>
  <si>
    <t>A</t>
  </si>
  <si>
    <t>C</t>
  </si>
  <si>
    <t>D</t>
  </si>
  <si>
    <t>E</t>
  </si>
  <si>
    <t>W</t>
  </si>
  <si>
    <t>I</t>
  </si>
  <si>
    <t>M</t>
  </si>
  <si>
    <t>N</t>
  </si>
  <si>
    <t>Column1</t>
  </si>
  <si>
    <t>Other</t>
  </si>
  <si>
    <t>TOTAL</t>
  </si>
  <si>
    <t>Internet</t>
  </si>
  <si>
    <t>Column4</t>
  </si>
  <si>
    <t>Column2</t>
  </si>
  <si>
    <t xml:space="preserve"> 2</t>
  </si>
  <si>
    <t>BALANCE</t>
  </si>
  <si>
    <t>SUB TOTAL</t>
  </si>
  <si>
    <t>CPP</t>
  </si>
  <si>
    <t>U</t>
  </si>
  <si>
    <t xml:space="preserve">A s s e t </t>
  </si>
  <si>
    <t>Cost</t>
  </si>
  <si>
    <t xml:space="preserve"> N B V </t>
  </si>
  <si>
    <t>Diminishing Balance Method</t>
  </si>
  <si>
    <t>Additions</t>
  </si>
  <si>
    <t>Disposals</t>
  </si>
  <si>
    <t>Rate</t>
  </si>
  <si>
    <t>12</t>
  </si>
  <si>
    <t>Current Year</t>
  </si>
  <si>
    <t>Prior Year</t>
  </si>
  <si>
    <t>Land</t>
  </si>
  <si>
    <t>1600 Land</t>
  </si>
  <si>
    <t>Building</t>
  </si>
  <si>
    <t>1680 Building</t>
  </si>
  <si>
    <t>1681  Building  accumulaed amortizaion</t>
  </si>
  <si>
    <t>Equipment, Furniture and fixtures</t>
  </si>
  <si>
    <t>1740 Furniture</t>
  </si>
  <si>
    <t>1741 Furniture accumulated amortization</t>
  </si>
  <si>
    <t>Furniture</t>
  </si>
  <si>
    <t>Computer</t>
  </si>
  <si>
    <t>1774 Computer</t>
  </si>
  <si>
    <t>1775 Computer accumulated amortization</t>
  </si>
  <si>
    <t>VEHICLE</t>
  </si>
  <si>
    <t>Account cost</t>
  </si>
  <si>
    <t>Column6</t>
  </si>
  <si>
    <t>DISBURSEMENTS</t>
  </si>
  <si>
    <t>DEPOSITS</t>
  </si>
  <si>
    <t>DIVIDENDS</t>
  </si>
  <si>
    <t>PY1</t>
  </si>
  <si>
    <t>1102 General Bank Account</t>
  </si>
  <si>
    <t>1139 Exchange/mark to market</t>
  </si>
  <si>
    <t>1140 Accounts Receivable</t>
  </si>
  <si>
    <t>2150 Accounts payable</t>
  </si>
  <si>
    <t>2158 Bonus Payable</t>
  </si>
  <si>
    <t>2160 Payroll Clearing</t>
  </si>
  <si>
    <t>2162 Employee deductions</t>
  </si>
  <si>
    <t>2171 Corporate Income taxes payable</t>
  </si>
  <si>
    <t>2205 HST Returns</t>
  </si>
  <si>
    <t>2210 ITC</t>
  </si>
  <si>
    <t>3500 Retained Earnings</t>
  </si>
  <si>
    <t>4120 US Dividends</t>
  </si>
  <si>
    <t>4170 US Sale of Securities</t>
  </si>
  <si>
    <t>5101 Wages</t>
  </si>
  <si>
    <t>5102 Wage Costs</t>
  </si>
  <si>
    <t>5202 Brokers Margin Interest</t>
  </si>
  <si>
    <t>CR</t>
  </si>
  <si>
    <t>STATEMENT OF INCOME</t>
  </si>
  <si>
    <t>Column3</t>
  </si>
  <si>
    <t>CY</t>
  </si>
  <si>
    <t>PY</t>
  </si>
  <si>
    <t>Investment revenue</t>
  </si>
  <si>
    <t>US</t>
  </si>
  <si>
    <t>Premises</t>
  </si>
  <si>
    <t>Vehicle</t>
  </si>
  <si>
    <t>Advertising</t>
  </si>
  <si>
    <t>Telephone</t>
  </si>
  <si>
    <t xml:space="preserve">Amortization </t>
  </si>
  <si>
    <t>Liability insurance</t>
  </si>
  <si>
    <t>STATEMENT OF FINANCIAL POSITION</t>
  </si>
  <si>
    <t>CURRENT ASSETS</t>
  </si>
  <si>
    <t>Cash</t>
  </si>
  <si>
    <t>Accounts receivable</t>
  </si>
  <si>
    <t>Preferred shares</t>
  </si>
  <si>
    <t>Common shares</t>
  </si>
  <si>
    <t>Retained earnings</t>
  </si>
  <si>
    <t>BANK RECONCILATION</t>
  </si>
  <si>
    <t xml:space="preserve">BALANCE AS PER BANK STATEMENT </t>
  </si>
  <si>
    <t>ADD O/S DEPOSITS</t>
  </si>
  <si>
    <t>LESS O/S CHEQUES</t>
  </si>
  <si>
    <t>BALANCE AS PER GENERAL LEDGER</t>
  </si>
  <si>
    <t>ADJSUTED GENERAL LEDGER BALANCE</t>
  </si>
  <si>
    <t>DIFFERENCE</t>
  </si>
  <si>
    <t>LIST OF OUTSTANDING DEPOSITS</t>
  </si>
  <si>
    <t>O/S DEPOSIT</t>
  </si>
  <si>
    <t>RECEIPT</t>
  </si>
  <si>
    <t>LIST OF OUTSTANDING CHEQUES</t>
  </si>
  <si>
    <t>CHEQUE #</t>
  </si>
  <si>
    <t>PAYEE</t>
  </si>
  <si>
    <t>FS_LINE</t>
  </si>
  <si>
    <t>PY2</t>
  </si>
  <si>
    <t>PY3</t>
  </si>
  <si>
    <t>PY4</t>
  </si>
  <si>
    <t>PY5</t>
  </si>
  <si>
    <t>Marketable securities</t>
  </si>
  <si>
    <t xml:space="preserve">1787 Equipment </t>
  </si>
  <si>
    <t>1788 Equipment accumulated amortization</t>
  </si>
  <si>
    <t>Accounts payable</t>
  </si>
  <si>
    <t>Due to shareholder</t>
  </si>
  <si>
    <t>Current portion of term debt</t>
  </si>
  <si>
    <t>Principal due within one year</t>
  </si>
  <si>
    <t>Canadian investment income</t>
  </si>
  <si>
    <t>Foreign investment income</t>
  </si>
  <si>
    <t>Unrealized gain/loss on Canadian securities</t>
  </si>
  <si>
    <t>Unrealized gain/loss on foreign securities</t>
  </si>
  <si>
    <t>Bank charges and interest</t>
  </si>
  <si>
    <t>Office supplies</t>
  </si>
  <si>
    <t>Marketing</t>
  </si>
  <si>
    <t>Grand Total</t>
  </si>
  <si>
    <t>BF</t>
  </si>
  <si>
    <t>SJ</t>
  </si>
  <si>
    <t>PJ</t>
  </si>
  <si>
    <t>Bonus</t>
  </si>
  <si>
    <t>Remittance</t>
  </si>
  <si>
    <t>TOTAL ITC'S</t>
  </si>
  <si>
    <t>Wage</t>
  </si>
  <si>
    <t>Cheque Disbursements</t>
  </si>
  <si>
    <t>Month</t>
  </si>
  <si>
    <t>OS CK 
Ref</t>
  </si>
  <si>
    <t>HST
 Code</t>
  </si>
  <si>
    <t>AP</t>
  </si>
  <si>
    <t>CHEQUE 
AMOUNT</t>
  </si>
  <si>
    <t>HST
Amount</t>
  </si>
  <si>
    <t>GENERAL JOURNAL</t>
  </si>
  <si>
    <t>Cash Receipts</t>
  </si>
  <si>
    <t>INV#</t>
  </si>
  <si>
    <t>CLEARED</t>
  </si>
  <si>
    <t>Invoice listing</t>
  </si>
  <si>
    <t>CUSTOMER
#</t>
  </si>
  <si>
    <t>INVOICE DETAIL</t>
  </si>
  <si>
    <t>FEES</t>
  </si>
  <si>
    <t>HST</t>
  </si>
  <si>
    <t>PYMT</t>
  </si>
  <si>
    <t>KM</t>
  </si>
  <si>
    <t>M-1000</t>
  </si>
  <si>
    <t>C-1000</t>
  </si>
  <si>
    <t>H-1000</t>
  </si>
  <si>
    <t>K-1000</t>
  </si>
  <si>
    <t>S-1000</t>
  </si>
  <si>
    <t>B-1001</t>
  </si>
  <si>
    <t>K-2000</t>
  </si>
  <si>
    <t>N-1000</t>
  </si>
  <si>
    <t>N-2000</t>
  </si>
  <si>
    <t>Due date</t>
  </si>
  <si>
    <t>HST 
Code</t>
  </si>
  <si>
    <t>Column5</t>
  </si>
  <si>
    <t>Payroll Journal</t>
  </si>
  <si>
    <t>https://apps.cra-arc.gc.ca/ebci/rhpd/beta/entry</t>
  </si>
  <si>
    <t>Staff</t>
  </si>
  <si>
    <t>Employee</t>
  </si>
  <si>
    <t>Gross</t>
  </si>
  <si>
    <t>EI</t>
  </si>
  <si>
    <t>Tax Fed</t>
  </si>
  <si>
    <t>Tax Prov</t>
  </si>
  <si>
    <t>Net</t>
  </si>
  <si>
    <t>Exp CPP</t>
  </si>
  <si>
    <t>Exp EI</t>
  </si>
  <si>
    <t>Payroll clearing</t>
  </si>
  <si>
    <t>Wage Cost</t>
  </si>
  <si>
    <t>month</t>
  </si>
  <si>
    <t>402-566 TOPSAIL ROAD</t>
  </si>
  <si>
    <t xml:space="preserve">ST. JOHN'S, NL A1E 0B4 </t>
  </si>
  <si>
    <t>Invoice</t>
  </si>
  <si>
    <t>Invoice for</t>
  </si>
  <si>
    <t>Invoice #</t>
  </si>
  <si>
    <t>Description</t>
  </si>
  <si>
    <t>Subtotal</t>
  </si>
  <si>
    <t>CUSTOMER
NUMBER</t>
  </si>
  <si>
    <t>ADDRESS 1</t>
  </si>
  <si>
    <t>ADDRESS 2</t>
  </si>
  <si>
    <t>ADDRESS 3</t>
  </si>
  <si>
    <t>Postal Code</t>
  </si>
  <si>
    <t>B-1000</t>
  </si>
  <si>
    <t>E-1000</t>
  </si>
  <si>
    <t>EZ Ledgers Inc.</t>
  </si>
  <si>
    <t>402- 566 topsail Raod</t>
  </si>
  <si>
    <t>Emp 3</t>
  </si>
  <si>
    <t>Emp 4</t>
  </si>
  <si>
    <t>Emp 5</t>
  </si>
  <si>
    <t>Emp 6</t>
  </si>
  <si>
    <t>Emp 7</t>
  </si>
  <si>
    <t>Emp 8</t>
  </si>
  <si>
    <t>H1</t>
  </si>
  <si>
    <t>H2</t>
  </si>
  <si>
    <t>H3</t>
  </si>
  <si>
    <t>PRICE</t>
  </si>
  <si>
    <t>COMM</t>
  </si>
  <si>
    <t>SYMBOL
OPEN
BUY/SALE</t>
  </si>
  <si>
    <t>CASH</t>
  </si>
  <si>
    <t>OC</t>
  </si>
  <si>
    <t xml:space="preserve">T </t>
  </si>
  <si>
    <t>DIS</t>
  </si>
  <si>
    <t>DEP</t>
  </si>
  <si>
    <t>TC</t>
  </si>
  <si>
    <t>INT</t>
  </si>
  <si>
    <t>MI</t>
  </si>
  <si>
    <t>PREMISES</t>
  </si>
  <si>
    <t>Light and heat</t>
  </si>
  <si>
    <t>TYPE</t>
  </si>
  <si>
    <t>COS</t>
  </si>
  <si>
    <t>Sales</t>
  </si>
  <si>
    <t>GROSS PROFIT</t>
  </si>
  <si>
    <t>Salaries</t>
  </si>
  <si>
    <t xml:space="preserve">Finance </t>
  </si>
  <si>
    <t>Travel</t>
  </si>
  <si>
    <t>AMORTIZATION</t>
  </si>
  <si>
    <t>SALARIES</t>
  </si>
  <si>
    <t>FINANCE</t>
  </si>
  <si>
    <t>TRAVEL</t>
  </si>
  <si>
    <t>MARKETING</t>
  </si>
  <si>
    <t>TOTAL OPERATING EXPENSES</t>
  </si>
  <si>
    <t>Rent</t>
  </si>
  <si>
    <t>Municipal taxes</t>
  </si>
  <si>
    <t>Donations</t>
  </si>
  <si>
    <t>OPENING
QTY2</t>
  </si>
  <si>
    <t>COST</t>
  </si>
  <si>
    <t>CDN</t>
  </si>
  <si>
    <t>BNS</t>
  </si>
  <si>
    <t xml:space="preserve">                                                                                                                                                                                                                                                                                                                                                                                                                                                                                                                                                                                        </t>
  </si>
  <si>
    <t>BF-01</t>
  </si>
  <si>
    <t>$</t>
  </si>
  <si>
    <t>Vehicle insurance</t>
  </si>
  <si>
    <t>Vehicle repairs</t>
  </si>
  <si>
    <t>SHAREHOLDERS EQUITY</t>
  </si>
  <si>
    <t>CAPITAL ASSETS</t>
  </si>
  <si>
    <t>ASSETS</t>
  </si>
  <si>
    <t>NET INCOME FOR THE YEAR</t>
  </si>
  <si>
    <t>INCOME BEFORE INCOME TAXES</t>
  </si>
  <si>
    <t>TB 2</t>
  </si>
  <si>
    <t>TB 1</t>
  </si>
  <si>
    <t>PRINT</t>
  </si>
  <si>
    <t>GROUP</t>
  </si>
  <si>
    <t>BB</t>
  </si>
  <si>
    <t>DD</t>
  </si>
  <si>
    <t>FF</t>
  </si>
  <si>
    <t>GG</t>
  </si>
  <si>
    <t>KK</t>
  </si>
  <si>
    <t>UU</t>
  </si>
  <si>
    <t>20</t>
  </si>
  <si>
    <t>80</t>
  </si>
  <si>
    <t>Vehicle other</t>
  </si>
  <si>
    <t>Vehicle gas</t>
  </si>
  <si>
    <t>Brokers margin Interest</t>
  </si>
  <si>
    <t>Meals and entertainment</t>
  </si>
  <si>
    <t>5010 Amortization Expense</t>
  </si>
  <si>
    <t>Meetings, conventions and seminars</t>
  </si>
  <si>
    <t>Cost of Sales</t>
  </si>
  <si>
    <t>30</t>
  </si>
  <si>
    <t>Accumulated amortization Building</t>
  </si>
  <si>
    <t>Accumulated amortization Furniture</t>
  </si>
  <si>
    <t>Accumulated amortization computer</t>
  </si>
  <si>
    <t>Equipment</t>
  </si>
  <si>
    <t>Accumulated amortization equipment</t>
  </si>
  <si>
    <t>HST payable</t>
  </si>
  <si>
    <t>LONG TERM DEBT</t>
  </si>
  <si>
    <t>Schedules to the financial statements</t>
  </si>
  <si>
    <t xml:space="preserve">  Schedule of Capital Assets</t>
  </si>
  <si>
    <t xml:space="preserve">  Schedule of Long Term Debt</t>
  </si>
  <si>
    <t xml:space="preserve">  Schedule of Operating Expenses</t>
  </si>
  <si>
    <t xml:space="preserve">  Schedule of Other Income</t>
  </si>
  <si>
    <t xml:space="preserve">OFFICE  </t>
  </si>
  <si>
    <t>Office</t>
  </si>
  <si>
    <t>RETAINED EARNINGS - END OF YEAR</t>
  </si>
  <si>
    <t>SCHEDULE OF CAPITAL ASSETS</t>
  </si>
  <si>
    <t>ACCUMULATED
AMORTIZATION</t>
  </si>
  <si>
    <t>Total Receipts</t>
  </si>
  <si>
    <t>Total Dsibursements</t>
  </si>
  <si>
    <t>ACB of Securities Sold</t>
  </si>
  <si>
    <t xml:space="preserve">Cost of  Disposition </t>
  </si>
  <si>
    <t>Beginning
 of year</t>
  </si>
  <si>
    <t xml:space="preserve">End of year    </t>
  </si>
  <si>
    <t xml:space="preserve">Disposals    </t>
  </si>
  <si>
    <t xml:space="preserve">Beginning of year    </t>
  </si>
  <si>
    <t xml:space="preserve">End of Year                        </t>
  </si>
  <si>
    <t>Accumulated Amortization</t>
  </si>
  <si>
    <t xml:space="preserve"> 3</t>
  </si>
  <si>
    <t xml:space="preserve">
The purpose of this worksheet is to  documnet the bank reconcilation for the bank account noted incell "B4" above.
There are three tables on this worksheet - the bank reconcilation (table 1) a listing of outstanding deposits (table 2) and cheques Table 3).
Column "B" in Table 2 nad 3  is a sequential numbers.
On the Receipts  Journal (Worksheet CR) column "J" notes that the deposit was matched to the bank statement and all uncleared deposits are sequentially numbered in Comumn "H" .
All uncleaned deposits are listed in table 2 using the number in Column "B" below and the VLOOKUP function Columns "C", "D", "E" and "F" are updated.
On the Cheque Disbursements  Journal (Worksheet CD) column "M" notes that the cheques where matched to the bank statement and all uncleared cheques are sequentially numbered in Comumn "B" . All uncleaned Cheques  are listed in table 3 using the number in Column "B" below and the VLOOKUP function Columns "C", "D", "E" and "F" are updated.
Table 1 is manually updated from the bank statement while the total of the outstanding cheques and depodits are automatically updated
The true bank balance is automatically computed and matched to the general ledger. Any diffeence is shown in Cell "F33"
The GL account Balance is computed on a pivot table and it is important to refresh the data to ensure that the GL reflects all entries..
</t>
  </si>
  <si>
    <t>Balances Carried forward from Previous period</t>
  </si>
  <si>
    <t>Prior years WPF</t>
  </si>
  <si>
    <t>4001</t>
  </si>
  <si>
    <t>4009</t>
  </si>
  <si>
    <t>4004</t>
  </si>
  <si>
    <t>4003</t>
  </si>
  <si>
    <t>4006</t>
  </si>
  <si>
    <t>OFFICE</t>
  </si>
  <si>
    <t>4005</t>
  </si>
  <si>
    <t>4002</t>
  </si>
  <si>
    <t>4008</t>
  </si>
  <si>
    <t>25</t>
  </si>
  <si>
    <t>REVENUE</t>
  </si>
  <si>
    <t>INVESTMENT INCOME</t>
  </si>
  <si>
    <t>COST OF GOODS SOLD</t>
  </si>
  <si>
    <t>4109 Cdn Interest income</t>
  </si>
  <si>
    <t>Corporate Income Tax</t>
  </si>
  <si>
    <t>Government Remittances</t>
  </si>
  <si>
    <t>DUE TO RELATED PARTIES</t>
  </si>
  <si>
    <t>2152 Accruals</t>
  </si>
  <si>
    <t>2162 Payroll Liabilities</t>
  </si>
  <si>
    <t>2164 Workers Comp Payable</t>
  </si>
  <si>
    <t>3400 Capital Stock</t>
  </si>
  <si>
    <t>5201 Bank Service Charges</t>
  </si>
  <si>
    <t>Interest Long Term Debt</t>
  </si>
  <si>
    <t>Security</t>
  </si>
  <si>
    <t>4010</t>
  </si>
  <si>
    <t>Realized gains/losses on disposal of assets</t>
  </si>
  <si>
    <t>4140 Foreign Taxes Paid</t>
  </si>
  <si>
    <t>Professional Fees</t>
  </si>
  <si>
    <t>3660</t>
  </si>
  <si>
    <t>TO BRING IN BALANCE AS PER TB PBC</t>
  </si>
  <si>
    <t xml:space="preserve">The purpose of this worksheet is to Link the Capital Asset acccounts to the general ledger and to compute the Amortization for the year.
The accounts are linked to the Chart of Accounts in the Columns "B" and "C" using the Index and match  are updated with the balances from the chart of accounts.
The additions and disposals should be noted on this worksheet below the schedule and Column"s "E", "F" amd "J" updated accordingly.
The Cell "L16" notes the time - if the period is for 6 months - than that cell should be edited to the time period.
The Amortization Rates are recorded in the Column"K" and should be amended to reflect the Company's Amortization Policy.
</t>
  </si>
  <si>
    <t>Helper Columns</t>
  </si>
  <si>
    <t>Match
Cost</t>
  </si>
  <si>
    <t>Match  
Acc Amort</t>
  </si>
  <si>
    <t>Accumulated Amortization
G/L Account</t>
  </si>
  <si>
    <t xml:space="preserve">                                  </t>
  </si>
  <si>
    <t>T/B</t>
  </si>
  <si>
    <t>Account</t>
  </si>
  <si>
    <t>Helper columns</t>
  </si>
  <si>
    <t>Match</t>
  </si>
  <si>
    <t>Count</t>
  </si>
  <si>
    <t>Concat</t>
  </si>
  <si>
    <t>TB</t>
  </si>
  <si>
    <t>Investment Management Fees</t>
  </si>
  <si>
    <t xml:space="preserve">                 </t>
  </si>
  <si>
    <t>4460 Dividends Cdn</t>
  </si>
  <si>
    <t>CL</t>
  </si>
  <si>
    <t>Bad debt expense</t>
  </si>
  <si>
    <t>Air and train fares</t>
  </si>
  <si>
    <t>Canadian dividend income</t>
  </si>
  <si>
    <t>Capital gains on disposition of shares</t>
  </si>
  <si>
    <t>AccountNumber</t>
  </si>
  <si>
    <t>AccountName</t>
  </si>
  <si>
    <t>Accounts Receivable</t>
  </si>
  <si>
    <t>Office Supplies</t>
  </si>
  <si>
    <t>TRV</t>
  </si>
  <si>
    <t>1102</t>
  </si>
  <si>
    <t>General Bank Account</t>
  </si>
  <si>
    <t>1103</t>
  </si>
  <si>
    <t>BMO Overdraft</t>
  </si>
  <si>
    <t>1119</t>
  </si>
  <si>
    <t>Bank Transfer Account</t>
  </si>
  <si>
    <t>1120</t>
  </si>
  <si>
    <t>1121</t>
  </si>
  <si>
    <t>1131</t>
  </si>
  <si>
    <t>1132</t>
  </si>
  <si>
    <t>1139</t>
  </si>
  <si>
    <t>Exchange/mark to market</t>
  </si>
  <si>
    <t>1140</t>
  </si>
  <si>
    <t>1600</t>
  </si>
  <si>
    <t>1680</t>
  </si>
  <si>
    <t>1681</t>
  </si>
  <si>
    <t>1740</t>
  </si>
  <si>
    <t>1741</t>
  </si>
  <si>
    <t>Furniture accumulated amortization</t>
  </si>
  <si>
    <t>1774</t>
  </si>
  <si>
    <t>1775</t>
  </si>
  <si>
    <t>Computer accumulated amortization</t>
  </si>
  <si>
    <t>1787</t>
  </si>
  <si>
    <t xml:space="preserve">Equipment </t>
  </si>
  <si>
    <t>1788</t>
  </si>
  <si>
    <t>Equipment accumulated amortization</t>
  </si>
  <si>
    <t>2150</t>
  </si>
  <si>
    <t>2152</t>
  </si>
  <si>
    <t>Accruals</t>
  </si>
  <si>
    <t>2158</t>
  </si>
  <si>
    <t>Bonus Payable</t>
  </si>
  <si>
    <t>2160</t>
  </si>
  <si>
    <t>Payroll Clearing</t>
  </si>
  <si>
    <t>2161</t>
  </si>
  <si>
    <t>2162</t>
  </si>
  <si>
    <t>Payroll Liabilities</t>
  </si>
  <si>
    <t>2164</t>
  </si>
  <si>
    <t>Workers Comp Payable</t>
  </si>
  <si>
    <t>2170</t>
  </si>
  <si>
    <t>Income Tax Interim Payments</t>
  </si>
  <si>
    <t>2171</t>
  </si>
  <si>
    <t>Corporate Income taxes payable</t>
  </si>
  <si>
    <t>2205</t>
  </si>
  <si>
    <t>HST Returns</t>
  </si>
  <si>
    <t>2209</t>
  </si>
  <si>
    <t>HST collected</t>
  </si>
  <si>
    <t>2210</t>
  </si>
  <si>
    <t>ITC</t>
  </si>
  <si>
    <t>2214</t>
  </si>
  <si>
    <t>2990</t>
  </si>
  <si>
    <t>2998</t>
  </si>
  <si>
    <t>3110</t>
  </si>
  <si>
    <t>3120</t>
  </si>
  <si>
    <t>3145</t>
  </si>
  <si>
    <t>3150</t>
  </si>
  <si>
    <t>Principal due within 1 year-LTD</t>
  </si>
  <si>
    <t>3190</t>
  </si>
  <si>
    <t>3400</t>
  </si>
  <si>
    <t>Capital Stock</t>
  </si>
  <si>
    <t>3410</t>
  </si>
  <si>
    <t>3500</t>
  </si>
  <si>
    <t>Retained Earnings</t>
  </si>
  <si>
    <t>Professional fees</t>
  </si>
  <si>
    <t>4109</t>
  </si>
  <si>
    <t>Cdn Interest income</t>
  </si>
  <si>
    <t>4460</t>
  </si>
  <si>
    <t>Dividends Cdn</t>
  </si>
  <si>
    <t>4120</t>
  </si>
  <si>
    <t>US Dividends</t>
  </si>
  <si>
    <t>4130</t>
  </si>
  <si>
    <t>Income clearing Account</t>
  </si>
  <si>
    <t>4140</t>
  </si>
  <si>
    <t>Foreign Taxes Paid</t>
  </si>
  <si>
    <t>4150</t>
  </si>
  <si>
    <t>Capital Gains</t>
  </si>
  <si>
    <t>4170</t>
  </si>
  <si>
    <t>US Sale of Securities</t>
  </si>
  <si>
    <t>4190</t>
  </si>
  <si>
    <t xml:space="preserve">Sale of CDN Securities </t>
  </si>
  <si>
    <t>4299</t>
  </si>
  <si>
    <t>Investment management fees</t>
  </si>
  <si>
    <t>Cost of CDN Securities Sold</t>
  </si>
  <si>
    <t>4910</t>
  </si>
  <si>
    <t>4912</t>
  </si>
  <si>
    <t>Freight\Courier</t>
  </si>
  <si>
    <t>Wage Costs</t>
  </si>
  <si>
    <t>5103</t>
  </si>
  <si>
    <t>WHSCC</t>
  </si>
  <si>
    <t>5104</t>
  </si>
  <si>
    <t>Payroll Expense - Directors</t>
  </si>
  <si>
    <t>5710</t>
  </si>
  <si>
    <t>Group insurance</t>
  </si>
  <si>
    <t>5108</t>
  </si>
  <si>
    <t>Training</t>
  </si>
  <si>
    <t>5106</t>
  </si>
  <si>
    <t>Payroll Expenses</t>
  </si>
  <si>
    <t>8911</t>
  </si>
  <si>
    <t>9180</t>
  </si>
  <si>
    <t>9220</t>
  </si>
  <si>
    <t>8690</t>
  </si>
  <si>
    <t>Vehicle Expense</t>
  </si>
  <si>
    <t>Vehicle Registration</t>
  </si>
  <si>
    <t>Bank Service Charges</t>
  </si>
  <si>
    <t>Brokers Margin Interest</t>
  </si>
  <si>
    <t>5690</t>
  </si>
  <si>
    <t>Insurance Expense: Professional Liability</t>
  </si>
  <si>
    <t>5701</t>
  </si>
  <si>
    <t>5705</t>
  </si>
  <si>
    <t>Advertising and Promotion</t>
  </si>
  <si>
    <t>Charitable Contributions</t>
  </si>
  <si>
    <t>9200</t>
  </si>
  <si>
    <t>Travel Expense</t>
  </si>
  <si>
    <t>9201</t>
  </si>
  <si>
    <t>Conventions, seminars</t>
  </si>
  <si>
    <t>9202</t>
  </si>
  <si>
    <t>Air and train Fares</t>
  </si>
  <si>
    <t>5010</t>
  </si>
  <si>
    <t>Amortization Expense</t>
  </si>
  <si>
    <t>8900</t>
  </si>
  <si>
    <t>interest and penalties - CRA</t>
  </si>
  <si>
    <t xml:space="preserve">income tax </t>
  </si>
  <si>
    <t>Gain on disposition of assets</t>
  </si>
  <si>
    <t>CURRENT LIABILITIES</t>
  </si>
  <si>
    <t>LONG TERM LIABILITIES</t>
  </si>
  <si>
    <t>SHAREHOLDERS' EQUITY</t>
  </si>
  <si>
    <t>GroupCount</t>
  </si>
  <si>
    <t>LSheetID</t>
  </si>
  <si>
    <t>1146</t>
  </si>
  <si>
    <t>Acct Rec - Shareholder</t>
  </si>
  <si>
    <t>9990</t>
  </si>
  <si>
    <t>9991</t>
  </si>
  <si>
    <t>H4</t>
  </si>
  <si>
    <t>H5</t>
  </si>
  <si>
    <t>H6</t>
  </si>
  <si>
    <t>H7</t>
  </si>
  <si>
    <t>H8</t>
  </si>
  <si>
    <t>H9</t>
  </si>
  <si>
    <t>H10</t>
  </si>
  <si>
    <t>H11</t>
  </si>
  <si>
    <t>H12</t>
  </si>
  <si>
    <t>H13</t>
  </si>
  <si>
    <t>H14</t>
  </si>
  <si>
    <t>H15</t>
  </si>
  <si>
    <t>H16</t>
  </si>
  <si>
    <t>H17</t>
  </si>
  <si>
    <t>H18</t>
  </si>
  <si>
    <t>Bank term loan</t>
  </si>
  <si>
    <t>Mortgage payable</t>
  </si>
  <si>
    <t>3120 Bank term loan</t>
  </si>
  <si>
    <t>3145 Mortgage payable</t>
  </si>
  <si>
    <t>Current principal payments</t>
  </si>
  <si>
    <t>2998 Current principal payments</t>
  </si>
  <si>
    <t>3200</t>
  </si>
  <si>
    <t>3201</t>
  </si>
  <si>
    <t>Family Investments Corp</t>
  </si>
  <si>
    <t>ABC Company</t>
  </si>
  <si>
    <t>3210</t>
  </si>
  <si>
    <t>Current obligations</t>
  </si>
  <si>
    <t>H19</t>
  </si>
  <si>
    <t>OTHER</t>
  </si>
  <si>
    <t>INCOME TAX</t>
  </si>
  <si>
    <t>LINE #</t>
  </si>
  <si>
    <t>CONTENTS</t>
  </si>
  <si>
    <t xml:space="preserve">SSCHEDULE OF OPERATING EXPENSES </t>
  </si>
  <si>
    <t xml:space="preserve">LIABILITIES </t>
  </si>
  <si>
    <t>CURRENT</t>
  </si>
  <si>
    <t>TOTAL LIABILITIES</t>
  </si>
  <si>
    <t>SSCHEDULE OF INVESTMENT INCOME (LOSS)</t>
  </si>
  <si>
    <t>Sum of AMOUNT</t>
  </si>
  <si>
    <t xml:space="preserve">Wage </t>
  </si>
  <si>
    <t>Bank overdraft</t>
  </si>
  <si>
    <t>Due to a Related Party</t>
  </si>
  <si>
    <t>1002</t>
  </si>
  <si>
    <t>1180</t>
  </si>
  <si>
    <t>1060</t>
  </si>
  <si>
    <t>3260</t>
  </si>
  <si>
    <t>1742</t>
  </si>
  <si>
    <t>1743</t>
  </si>
  <si>
    <t>2620</t>
  </si>
  <si>
    <t>2627</t>
  </si>
  <si>
    <t>2680</t>
  </si>
  <si>
    <t>3300</t>
  </si>
  <si>
    <t>2920</t>
  </si>
  <si>
    <t>3520</t>
  </si>
  <si>
    <t>3700</t>
  </si>
  <si>
    <t>8000</t>
  </si>
  <si>
    <t>8090</t>
  </si>
  <si>
    <t>8095</t>
  </si>
  <si>
    <t>8097</t>
  </si>
  <si>
    <t>8212</t>
  </si>
  <si>
    <t>8311</t>
  </si>
  <si>
    <t>8871</t>
  </si>
  <si>
    <t>8320</t>
  </si>
  <si>
    <t>9060</t>
  </si>
  <si>
    <t>8620</t>
  </si>
  <si>
    <t>8622</t>
  </si>
  <si>
    <t>8862</t>
  </si>
  <si>
    <t>8689</t>
  </si>
  <si>
    <t>9224</t>
  </si>
  <si>
    <t>9281</t>
  </si>
  <si>
    <t>8962</t>
  </si>
  <si>
    <t>8715</t>
  </si>
  <si>
    <t>8711</t>
  </si>
  <si>
    <t>8714</t>
  </si>
  <si>
    <t>9270</t>
  </si>
  <si>
    <t>8811</t>
  </si>
  <si>
    <t>9225</t>
  </si>
  <si>
    <t>9152</t>
  </si>
  <si>
    <t>8590</t>
  </si>
  <si>
    <t>8521</t>
  </si>
  <si>
    <t>8523</t>
  </si>
  <si>
    <t>8522</t>
  </si>
  <si>
    <t>8570</t>
  </si>
  <si>
    <t>8210</t>
  </si>
  <si>
    <t>4156</t>
  </si>
  <si>
    <t>4171</t>
  </si>
  <si>
    <t>4023</t>
  </si>
  <si>
    <t xml:space="preserve">4023 Sale of CDN Securities </t>
  </si>
  <si>
    <t>Cost of US Securities Sold</t>
  </si>
  <si>
    <t>4156 Cost of CDN Securities Sold</t>
  </si>
  <si>
    <t>OPERATING EXPENSES</t>
  </si>
  <si>
    <t>Automobile</t>
  </si>
  <si>
    <t>1231 Automobile</t>
  </si>
  <si>
    <t>Related parties Current</t>
  </si>
  <si>
    <t xml:space="preserve">Current Income tax  </t>
  </si>
  <si>
    <t>Amortization of Tangible Assets</t>
  </si>
  <si>
    <t>9061</t>
  </si>
  <si>
    <t>9063</t>
  </si>
  <si>
    <t>SCHEDULE OF LONG TERM DEBT</t>
  </si>
  <si>
    <t>SCHEDULE OF AMOUNTS DUE TO (FROM) RELATED PARTIES</t>
  </si>
  <si>
    <t>Total CY</t>
  </si>
  <si>
    <t>Total PY1</t>
  </si>
  <si>
    <t>Total PY2</t>
  </si>
  <si>
    <t>Total PY3</t>
  </si>
  <si>
    <t>Total PY4</t>
  </si>
  <si>
    <t>Total PY5</t>
  </si>
  <si>
    <t>00H1</t>
  </si>
  <si>
    <t>00H2</t>
  </si>
  <si>
    <t>00H3</t>
  </si>
  <si>
    <t>00H4</t>
  </si>
  <si>
    <t>00H5</t>
  </si>
  <si>
    <t>00H6</t>
  </si>
  <si>
    <t>00H7</t>
  </si>
  <si>
    <t>00H8</t>
  </si>
  <si>
    <t>00H9</t>
  </si>
  <si>
    <t>0H10</t>
  </si>
  <si>
    <t>0H11</t>
  </si>
  <si>
    <t>0H12</t>
  </si>
  <si>
    <t>0H13</t>
  </si>
  <si>
    <t>0H14</t>
  </si>
  <si>
    <t>0H15</t>
  </si>
  <si>
    <t>0H16</t>
  </si>
  <si>
    <t>0H17</t>
  </si>
  <si>
    <t>0H18</t>
  </si>
  <si>
    <t>0H19</t>
  </si>
  <si>
    <t>Statement of income</t>
  </si>
  <si>
    <t>Accumulated amortization</t>
  </si>
  <si>
    <t>Statement of financial position</t>
  </si>
  <si>
    <t xml:space="preserve">AMOUNTS DUE TO (FROM) RELATED PARTIES </t>
  </si>
  <si>
    <t xml:space="preserve">Due to shareholders </t>
  </si>
  <si>
    <t>2681</t>
  </si>
  <si>
    <t>Unrealized gain/loss on securities</t>
  </si>
  <si>
    <t xml:space="preserve">Vehicle Insurance </t>
  </si>
  <si>
    <t>Premises insurance</t>
  </si>
  <si>
    <t>8688</t>
  </si>
  <si>
    <t xml:space="preserve">INVVESTMENT INCOME </t>
  </si>
  <si>
    <t xml:space="preserve">OPERATING INCOME </t>
  </si>
  <si>
    <t xml:space="preserve">DUE TO RELATED PARTIES </t>
  </si>
  <si>
    <t xml:space="preserve">Due from a shareholder </t>
  </si>
  <si>
    <t>DUE FROM RELATED PARTIES</t>
  </si>
  <si>
    <t>SCHEDULE OF CONTRA ACCOUNTS</t>
  </si>
  <si>
    <t xml:space="preserve">Due to a shareholder </t>
  </si>
  <si>
    <t xml:space="preserve">Due from  other related parties </t>
  </si>
  <si>
    <t xml:space="preserve">Due to other related parties </t>
  </si>
  <si>
    <t>Refund of Corporation Income taxes</t>
  </si>
  <si>
    <t xml:space="preserve">Refund of HST </t>
  </si>
  <si>
    <t>TOPIC</t>
  </si>
  <si>
    <t xml:space="preserve">THE PURPOSE OF THIS WORKSHEET IS TO:
</t>
  </si>
  <si>
    <t>Expense</t>
  </si>
  <si>
    <t>Invoice No.</t>
  </si>
  <si>
    <t>Address 3</t>
  </si>
  <si>
    <t>Address 2</t>
  </si>
  <si>
    <t>Address 1</t>
  </si>
  <si>
    <t>CODE</t>
  </si>
  <si>
    <t>ID</t>
  </si>
  <si>
    <t>ANY CITY</t>
  </si>
  <si>
    <t>BNS 1B1</t>
  </si>
  <si>
    <t>KEYSTONE PROPERTIES INC.</t>
  </si>
  <si>
    <t>Mastercard</t>
  </si>
  <si>
    <t>V-1000</t>
  </si>
  <si>
    <t>Visa</t>
  </si>
  <si>
    <t>PO Box 4452 Stn A</t>
  </si>
  <si>
    <t>VENDOR</t>
  </si>
  <si>
    <t>INVOICE NO</t>
  </si>
  <si>
    <t>ITEM 
COUNT</t>
  </si>
  <si>
    <t>LINE NO</t>
  </si>
  <si>
    <t>IFSL</t>
  </si>
  <si>
    <t>Unrealized Gain On Securities</t>
  </si>
  <si>
    <t>Unrealized Loss On Securities</t>
  </si>
  <si>
    <t>CD</t>
  </si>
  <si>
    <t>K-2000 KEYSTONE PROPERTIES INC.</t>
  </si>
  <si>
    <t>Total Cheques</t>
  </si>
  <si>
    <t>Total ITC</t>
  </si>
  <si>
    <t xml:space="preserve">                                                                                                                                                                                                                                                                                                                                                                                                                                                                                                              </t>
  </si>
  <si>
    <t>SJ-251181</t>
  </si>
  <si>
    <t>CUSTOMER ID</t>
  </si>
  <si>
    <t>Bookkeeping and accounting services for the six months ended December 31, 2024</t>
  </si>
  <si>
    <t>To preliminary work for the Year Ended December 31, 2024, and preparation and filing of the company's T4's for the year than ended.</t>
  </si>
  <si>
    <t>To preliminary work for the Year Ended December 31, 2024.</t>
  </si>
  <si>
    <t xml:space="preserve">
Description of Services:
For the years ended October 31, 2022, October 31, 2023 and October 31, 2024
1. Set up and preparation of books of original entry from incomplete records:
   With reference to bank statements and deposits
   With input from management
2. Set up of company's general ledger and posting the books of original entry, and 
3. Compiling Financial Statements for the years than ended
</t>
  </si>
  <si>
    <t>BIG BAD WOLF INC</t>
  </si>
  <si>
    <t>BART'S GYM LIMITED</t>
  </si>
  <si>
    <t xml:space="preserve">COTTAGES FOR RENT </t>
  </si>
  <si>
    <t>HOOD INDUSTRIES LIMITED</t>
  </si>
  <si>
    <t>KEITH'S WINE BAR</t>
  </si>
  <si>
    <t>KEYSTONE RESTAURANT</t>
  </si>
  <si>
    <t>MICHAEL'S LANDSCAPING</t>
  </si>
  <si>
    <t>O-1000</t>
  </si>
  <si>
    <t>OLEANNA'S LITTLE HELPER INC</t>
  </si>
  <si>
    <t>T-1000</t>
  </si>
  <si>
    <t>TASKER'S LEADERSHIP TRAINING SERVICES</t>
  </si>
  <si>
    <t>NETWORK  INC.</t>
  </si>
  <si>
    <t>NETWORK SERVICES  INC.</t>
  </si>
  <si>
    <t>SMAILL HARBOUR ADMIN SEVICES INC</t>
  </si>
  <si>
    <t>3 Forest Road</t>
  </si>
  <si>
    <t>4 Phys ED  Place</t>
  </si>
  <si>
    <t>8 lake View Pl</t>
  </si>
  <si>
    <t>By the Kitchen  Road</t>
  </si>
  <si>
    <t>19 Cork Street</t>
  </si>
  <si>
    <t>3 Deli Row</t>
  </si>
  <si>
    <t>45 Garden Road</t>
  </si>
  <si>
    <t>55 House Street</t>
  </si>
  <si>
    <t>5 Parliament Street</t>
  </si>
  <si>
    <t>2150 CPU Drive</t>
  </si>
  <si>
    <t>78 Water Street</t>
  </si>
  <si>
    <t>45 Software Crescent</t>
  </si>
  <si>
    <t>K-1000 KEITH'S WINE BAR</t>
  </si>
  <si>
    <t xml:space="preserve">C-1000 COTTAGES FOR RENT </t>
  </si>
  <si>
    <t>O-1000 OLEANNA'S LITTLE HELPER INC</t>
  </si>
  <si>
    <t>B-1000 BIG BAD WOLF INC</t>
  </si>
  <si>
    <t>C1</t>
  </si>
  <si>
    <t>1141</t>
  </si>
  <si>
    <t>Miscellaneous receivables</t>
  </si>
  <si>
    <t>1141 Miscellaneous receivables</t>
  </si>
  <si>
    <t>INVOICE DESCRIPTION</t>
  </si>
  <si>
    <t>SIN.</t>
  </si>
  <si>
    <t>123-456-789</t>
  </si>
  <si>
    <t>987-654-321</t>
  </si>
  <si>
    <t>Bank account Information
Transit   Institution #   Account
38901               002          1826600
Interact payment to jbc@ezledgersinc.com</t>
  </si>
  <si>
    <t>HST NO, 60928 4815 RT0001</t>
  </si>
  <si>
    <t>1102 General Bank Account Total</t>
  </si>
  <si>
    <t>1140 Accounts Receivable Total</t>
  </si>
  <si>
    <t>1141 Miscellaneous receivables Total</t>
  </si>
  <si>
    <t>1774 Computer Total</t>
  </si>
  <si>
    <t>1775 Computer accumulated amortization Total</t>
  </si>
  <si>
    <t>1787 Equipment  Total</t>
  </si>
  <si>
    <t>1788 Equipment accumulated amortization Total</t>
  </si>
  <si>
    <t>2150 Accounts payable Total</t>
  </si>
  <si>
    <t>2152 Accruals Total</t>
  </si>
  <si>
    <t>2171 Corporate Income taxes payable Total</t>
  </si>
  <si>
    <t>2205 HST Returns Total</t>
  </si>
  <si>
    <t>3400 Capital Stock Total</t>
  </si>
  <si>
    <t>3500 Retained Earnings Total</t>
  </si>
  <si>
    <t>4023 Sale of CDN Securities  Total</t>
  </si>
  <si>
    <t>4460 Dividends Cdn Total</t>
  </si>
  <si>
    <t>5010 Amortization Expense Total</t>
  </si>
  <si>
    <t>SJ-251182</t>
  </si>
  <si>
    <t>SJ-251183</t>
  </si>
  <si>
    <t>SJ-251184</t>
  </si>
  <si>
    <t xml:space="preserve">TRANSACTIONS </t>
  </si>
  <si>
    <t>HELPER COLUMNS</t>
  </si>
  <si>
    <t>GENERAL LEDGER</t>
  </si>
  <si>
    <t>UNITS</t>
  </si>
  <si>
    <t>GAIN/(LOSS) ON DISPOSITION</t>
  </si>
  <si>
    <t>HOLDINGS</t>
  </si>
  <si>
    <t>CONVERT TO CANADIAN $</t>
  </si>
  <si>
    <t>ACTIVITY</t>
  </si>
  <si>
    <t>B2</t>
  </si>
  <si>
    <t>SYMBOL
MATCH</t>
  </si>
  <si>
    <t>GL
CODE
REF</t>
  </si>
  <si>
    <t>SOLD</t>
  </si>
  <si>
    <t>ACB
ENDING</t>
  </si>
  <si>
    <t>PROCEEDS</t>
  </si>
  <si>
    <t>PURCHASE
DATE</t>
  </si>
  <si>
    <t>TOTAL
MKT</t>
  </si>
  <si>
    <t>SECURITIES</t>
  </si>
  <si>
    <t>TOTAL
MKT PY/CY</t>
  </si>
  <si>
    <t>UNREALIZED
GAIN
(LOSS)</t>
  </si>
  <si>
    <t>EXCHNAGE
METHOD</t>
  </si>
  <si>
    <t>EXCHANGE
RATE</t>
  </si>
  <si>
    <t>CDN $</t>
  </si>
  <si>
    <t>BALFWD</t>
  </si>
  <si>
    <t>DEC 31 2024</t>
  </si>
  <si>
    <t>GOOGL</t>
  </si>
  <si>
    <t>AMZN</t>
  </si>
  <si>
    <t>BEGINNING OF YEAR</t>
  </si>
  <si>
    <t>AVGO</t>
  </si>
  <si>
    <t>ACTIVITY FOR THE YEAR</t>
  </si>
  <si>
    <t>CROX</t>
  </si>
  <si>
    <t>AVERAGE</t>
  </si>
  <si>
    <t>CRWD</t>
  </si>
  <si>
    <t>META</t>
  </si>
  <si>
    <t>IREN</t>
  </si>
  <si>
    <t>MSFT</t>
  </si>
  <si>
    <t>COP</t>
  </si>
  <si>
    <t>OXY</t>
  </si>
  <si>
    <t>YEAR END BALANCES</t>
  </si>
  <si>
    <t>MS</t>
  </si>
  <si>
    <t>BAC</t>
  </si>
  <si>
    <t>WWW</t>
  </si>
  <si>
    <t>LLY</t>
  </si>
  <si>
    <t>UNREALIZED GAIN/(LOSS)  FOR THE PERIOD</t>
  </si>
  <si>
    <t>DAL</t>
  </si>
  <si>
    <t>PH</t>
  </si>
  <si>
    <t>NVDA</t>
  </si>
  <si>
    <t>NVO</t>
  </si>
  <si>
    <t>NXPI</t>
  </si>
  <si>
    <t>NSC</t>
  </si>
  <si>
    <t>SBUX</t>
  </si>
  <si>
    <t>CART</t>
  </si>
  <si>
    <t>WING</t>
  </si>
  <si>
    <t>ULTA</t>
  </si>
  <si>
    <t>FIVE</t>
  </si>
  <si>
    <t>CLS</t>
  </si>
  <si>
    <t>CIEN</t>
  </si>
  <si>
    <t>DRI</t>
  </si>
  <si>
    <t>PKG</t>
  </si>
  <si>
    <t>SYY</t>
  </si>
  <si>
    <t>AMT</t>
  </si>
  <si>
    <t>PEP</t>
  </si>
  <si>
    <t>HSY</t>
  </si>
  <si>
    <t>GLW</t>
  </si>
  <si>
    <t>CHWY</t>
  </si>
  <si>
    <t>EWG</t>
  </si>
  <si>
    <t>UPS</t>
  </si>
  <si>
    <t>JCI</t>
  </si>
  <si>
    <t>EAT</t>
  </si>
  <si>
    <t>CMG</t>
  </si>
  <si>
    <t>MCD</t>
  </si>
  <si>
    <t>CABGY</t>
  </si>
  <si>
    <t>CPNG</t>
  </si>
  <si>
    <t>BKR</t>
  </si>
  <si>
    <t>TCHI</t>
  </si>
  <si>
    <t>EZU</t>
  </si>
  <si>
    <t>LAZ</t>
  </si>
  <si>
    <t>PYPL</t>
  </si>
  <si>
    <t>IBM</t>
  </si>
  <si>
    <t>JNJ</t>
  </si>
  <si>
    <t>BLK</t>
  </si>
  <si>
    <t>WMT</t>
  </si>
  <si>
    <t>PAYX</t>
  </si>
  <si>
    <t>ANF</t>
  </si>
  <si>
    <t>CITI</t>
  </si>
  <si>
    <t>UNH</t>
  </si>
  <si>
    <t>CAVA</t>
  </si>
  <si>
    <t>WM</t>
  </si>
  <si>
    <t>BRK.B</t>
  </si>
  <si>
    <t>PG</t>
  </si>
  <si>
    <t>UL</t>
  </si>
  <si>
    <t>JD</t>
  </si>
  <si>
    <t>GRAB</t>
  </si>
  <si>
    <t>INDA</t>
  </si>
  <si>
    <t>SAN</t>
  </si>
  <si>
    <t>Opening Cash Balance</t>
  </si>
  <si>
    <t>Opening Mkt Sec Bal</t>
  </si>
  <si>
    <t>Clearing A/c</t>
  </si>
  <si>
    <t xml:space="preserve">Clearing </t>
  </si>
  <si>
    <t>Mkt Value of holdings</t>
  </si>
  <si>
    <t>HMKT</t>
  </si>
  <si>
    <t>ACB of Holdings</t>
  </si>
  <si>
    <t>HACB</t>
  </si>
  <si>
    <t>Unrealized Gain/(loss)</t>
  </si>
  <si>
    <t>UNREALIZED</t>
  </si>
  <si>
    <t>BROKER TRANSACTION US ACCOUNT</t>
  </si>
  <si>
    <t>Broker US Cash</t>
  </si>
  <si>
    <t>Broker CDN Cash</t>
  </si>
  <si>
    <t>Broker US Securities</t>
  </si>
  <si>
    <t>Broker CDN Securities</t>
  </si>
  <si>
    <t>1120 Broker CDN Cash</t>
  </si>
  <si>
    <t>1121 Broker US Cash</t>
  </si>
  <si>
    <t>1131 Broker CDN Securities</t>
  </si>
  <si>
    <t>1132 Broker US Securities</t>
  </si>
  <si>
    <t>1120 Broker CDN Cash Total</t>
  </si>
  <si>
    <t>1121 Broker US Cash Total</t>
  </si>
  <si>
    <t>1131 Broker CDN Securities Total</t>
  </si>
  <si>
    <t>1132 Broker US Securities Total</t>
  </si>
  <si>
    <t xml:space="preserve">9991 income tax </t>
  </si>
  <si>
    <t>4110</t>
  </si>
  <si>
    <t xml:space="preserve">Investment Income Foreign </t>
  </si>
  <si>
    <t xml:space="preserve">4110 Investment Income Foreign </t>
  </si>
  <si>
    <t>http://finance.yahoo.com/q?s=</t>
  </si>
  <si>
    <t>http://stockcharts.com/h-sc/ui?s=</t>
  </si>
  <si>
    <t>Y</t>
  </si>
  <si>
    <t>SYMBOL</t>
  </si>
  <si>
    <t>TGOPF</t>
  </si>
  <si>
    <t>AOS</t>
  </si>
  <si>
    <t>ABT</t>
  </si>
  <si>
    <t>ABBV</t>
  </si>
  <si>
    <t>ADBE</t>
  </si>
  <si>
    <t>AMD</t>
  </si>
  <si>
    <t>ACM</t>
  </si>
  <si>
    <t>ARE</t>
  </si>
  <si>
    <t>AFL</t>
  </si>
  <si>
    <t>AC</t>
  </si>
  <si>
    <t>APD</t>
  </si>
  <si>
    <t>ABNB</t>
  </si>
  <si>
    <t>BOS</t>
  </si>
  <si>
    <t>ALB</t>
  </si>
  <si>
    <t>AA</t>
  </si>
  <si>
    <t>AQN</t>
  </si>
  <si>
    <t>BABA</t>
  </si>
  <si>
    <t>ATD</t>
  </si>
  <si>
    <t>LNT</t>
  </si>
  <si>
    <t>ATUS</t>
  </si>
  <si>
    <t>AMCR</t>
  </si>
  <si>
    <t>AEO</t>
  </si>
  <si>
    <t>AFG</t>
  </si>
  <si>
    <t>AWK</t>
  </si>
  <si>
    <t>ADW.A</t>
  </si>
  <si>
    <t>AAPL</t>
  </si>
  <si>
    <t>AMAT</t>
  </si>
  <si>
    <t>ANET</t>
  </si>
  <si>
    <t>ADP</t>
  </si>
  <si>
    <t>AZO</t>
  </si>
  <si>
    <t>BITB</t>
  </si>
  <si>
    <t>BLN</t>
  </si>
  <si>
    <t>BX</t>
  </si>
  <si>
    <t>CM</t>
  </si>
  <si>
    <t>CNR</t>
  </si>
  <si>
    <t>CNQ</t>
  </si>
  <si>
    <t>CP</t>
  </si>
  <si>
    <t>CTC.A</t>
  </si>
  <si>
    <t>CU</t>
  </si>
  <si>
    <t>CAT</t>
  </si>
  <si>
    <t>CTAS</t>
  </si>
  <si>
    <t>CSCO</t>
  </si>
  <si>
    <t>CFG</t>
  </si>
  <si>
    <t>NET</t>
  </si>
  <si>
    <t>CEG</t>
  </si>
  <si>
    <t>CJR.B</t>
  </si>
  <si>
    <t>CMI</t>
  </si>
  <si>
    <t>DAR</t>
  </si>
  <si>
    <t>DECK</t>
  </si>
  <si>
    <t>DE</t>
  </si>
  <si>
    <t>DVN</t>
  </si>
  <si>
    <t>DWS</t>
  </si>
  <si>
    <t>DKS</t>
  </si>
  <si>
    <t>DOCU</t>
  </si>
  <si>
    <t>DLTR</t>
  </si>
  <si>
    <t>DOL</t>
  </si>
  <si>
    <t>DPZ</t>
  </si>
  <si>
    <t>DMPZF</t>
  </si>
  <si>
    <t>DASH</t>
  </si>
  <si>
    <t>DOV</t>
  </si>
  <si>
    <t>DOCS</t>
  </si>
  <si>
    <t>ETN</t>
  </si>
  <si>
    <t>EME</t>
  </si>
  <si>
    <t>EXPE</t>
  </si>
  <si>
    <t>FDX</t>
  </si>
  <si>
    <t>FCR.UN</t>
  </si>
  <si>
    <t>FTS</t>
  </si>
  <si>
    <t>FCX</t>
  </si>
  <si>
    <t>GEV</t>
  </si>
  <si>
    <t>GD</t>
  </si>
  <si>
    <t>GIL</t>
  </si>
  <si>
    <t>GIL.TO</t>
  </si>
  <si>
    <t>GILD</t>
  </si>
  <si>
    <t>GRT.UN</t>
  </si>
  <si>
    <t>GWO</t>
  </si>
  <si>
    <t>HPE</t>
  </si>
  <si>
    <t>HIVE</t>
  </si>
  <si>
    <t>HWM</t>
  </si>
  <si>
    <t>HSBC</t>
  </si>
  <si>
    <t>ISRG</t>
  </si>
  <si>
    <t>IMG</t>
  </si>
  <si>
    <t>IBIT</t>
  </si>
  <si>
    <t>XCH</t>
  </si>
  <si>
    <t>CGL</t>
  </si>
  <si>
    <t>XEU</t>
  </si>
  <si>
    <t>XEG</t>
  </si>
  <si>
    <t>XFN</t>
  </si>
  <si>
    <t>XIT</t>
  </si>
  <si>
    <t>WLY</t>
  </si>
  <si>
    <t>JPM</t>
  </si>
  <si>
    <t>KMP.UN</t>
  </si>
  <si>
    <t>KIM</t>
  </si>
  <si>
    <t>KNSL</t>
  </si>
  <si>
    <t>KD</t>
  </si>
  <si>
    <t>LIN</t>
  </si>
  <si>
    <t>LULU</t>
  </si>
  <si>
    <t>MFC</t>
  </si>
  <si>
    <t>MAR</t>
  </si>
  <si>
    <t>MRVL</t>
  </si>
  <si>
    <t>MELI</t>
  </si>
  <si>
    <t>MSTR</t>
  </si>
  <si>
    <t>MSCI</t>
  </si>
  <si>
    <t>NFLX</t>
  </si>
  <si>
    <t>NKE</t>
  </si>
  <si>
    <t>ORCL</t>
  </si>
  <si>
    <t>PLTR</t>
  </si>
  <si>
    <t>PANW</t>
  </si>
  <si>
    <t>PFE</t>
  </si>
  <si>
    <t>PBPB</t>
  </si>
  <si>
    <t>PVH</t>
  </si>
  <si>
    <t>QSR</t>
  </si>
  <si>
    <t>RIOT</t>
  </si>
  <si>
    <t>RY</t>
  </si>
  <si>
    <t>RCL</t>
  </si>
  <si>
    <t>RVYL</t>
  </si>
  <si>
    <t>CRM</t>
  </si>
  <si>
    <t>SAP</t>
  </si>
  <si>
    <t>SE</t>
  </si>
  <si>
    <t>STX</t>
  </si>
  <si>
    <t>SHOP</t>
  </si>
  <si>
    <t>SKX</t>
  </si>
  <si>
    <t>SNAP</t>
  </si>
  <si>
    <t>SYK</t>
  </si>
  <si>
    <t>SPH</t>
  </si>
  <si>
    <t>ERIC</t>
  </si>
  <si>
    <t>TSLA</t>
  </si>
  <si>
    <t>CI</t>
  </si>
  <si>
    <t>KO</t>
  </si>
  <si>
    <t>SJM</t>
  </si>
  <si>
    <t>SO</t>
  </si>
  <si>
    <t>TTD</t>
  </si>
  <si>
    <t>BLD</t>
  </si>
  <si>
    <t>TT</t>
  </si>
  <si>
    <t>TDG</t>
  </si>
  <si>
    <t>TRMB</t>
  </si>
  <si>
    <t>UBER</t>
  </si>
  <si>
    <t>UFPI</t>
  </si>
  <si>
    <t>PATH</t>
  </si>
  <si>
    <t>URBN</t>
  </si>
  <si>
    <t>USDCAD</t>
  </si>
  <si>
    <t>VRN</t>
  </si>
  <si>
    <t>VRTX</t>
  </si>
  <si>
    <t>V</t>
  </si>
  <si>
    <t>GWW</t>
  </si>
  <si>
    <t>WHR</t>
  </si>
  <si>
    <t>WSM</t>
  </si>
  <si>
    <t>YUM</t>
  </si>
  <si>
    <t>CAN</t>
  </si>
  <si>
    <t>BK-US</t>
  </si>
  <si>
    <t>BK-CDN</t>
  </si>
  <si>
    <t>4171 Cost of US Securities Sold</t>
  </si>
  <si>
    <t>BNK TFR</t>
  </si>
  <si>
    <t>2000</t>
  </si>
  <si>
    <t>2001</t>
  </si>
  <si>
    <t>110</t>
  </si>
  <si>
    <t>111</t>
  </si>
  <si>
    <t>121</t>
  </si>
  <si>
    <t>122</t>
  </si>
  <si>
    <t>123</t>
  </si>
  <si>
    <t>124</t>
  </si>
  <si>
    <t>125</t>
  </si>
  <si>
    <t>127</t>
  </si>
  <si>
    <t>2003</t>
  </si>
  <si>
    <t>112</t>
  </si>
  <si>
    <t>113</t>
  </si>
  <si>
    <t>114</t>
  </si>
  <si>
    <t>115</t>
  </si>
  <si>
    <t>116</t>
  </si>
  <si>
    <t>117</t>
  </si>
  <si>
    <t>118</t>
  </si>
  <si>
    <t>119</t>
  </si>
  <si>
    <t>120</t>
  </si>
  <si>
    <t>126</t>
  </si>
  <si>
    <t>4170 US Sale of Securities Total</t>
  </si>
  <si>
    <t>2002</t>
  </si>
  <si>
    <t>4171 Cost of US Securities Sold Total</t>
  </si>
  <si>
    <t>4156 Cost of CDN Securities Sold Total</t>
  </si>
  <si>
    <t>FS_2YRS</t>
  </si>
  <si>
    <t>FS_5YRS</t>
  </si>
  <si>
    <t>TB_FS</t>
  </si>
  <si>
    <t>A1</t>
  </si>
  <si>
    <t>C.1</t>
  </si>
  <si>
    <t>U1</t>
  </si>
  <si>
    <t>COA</t>
  </si>
  <si>
    <t>T_Wksheet</t>
  </si>
  <si>
    <t>CUSTOMERS</t>
  </si>
  <si>
    <t>RPT_CHEQUE</t>
  </si>
  <si>
    <t>RPT INVOICE</t>
  </si>
  <si>
    <t>GJ</t>
  </si>
  <si>
    <t>BK_CDN</t>
  </si>
  <si>
    <t>BK_US</t>
  </si>
  <si>
    <t>STAFF</t>
  </si>
  <si>
    <t>ACCOUNTS RECEIVABLE</t>
  </si>
  <si>
    <t>ACCOUNTS PAYABLE</t>
  </si>
  <si>
    <t>GOVERNMENT REMITTANCES</t>
  </si>
  <si>
    <t xml:space="preserve">Index </t>
  </si>
  <si>
    <t>INDEX</t>
  </si>
  <si>
    <t>ACCOUNTS RECEIVABLE LISTING</t>
  </si>
  <si>
    <t>CAPITAL ASSETS CONTINUITY SCHEDULE</t>
  </si>
  <si>
    <t xml:space="preserve">CHART OF ACCOUNTS </t>
  </si>
  <si>
    <t>GENERAL LEDGER CHART OF ACCOUNTS</t>
  </si>
  <si>
    <t xml:space="preserve">WORKING PAPER TEMPLATE </t>
  </si>
  <si>
    <t>VENDOR MASTER FILE</t>
  </si>
  <si>
    <t>MASTER SYMBOL FILE</t>
  </si>
  <si>
    <t>MASTER CUSTOMER FILE</t>
  </si>
  <si>
    <t>CHEQUE TEMPLATE</t>
  </si>
  <si>
    <t>INVOICE TEMPLATE</t>
  </si>
  <si>
    <t>CASH RECEIPTS JOURNAL</t>
  </si>
  <si>
    <t>CREDIT CARD JOURNAL</t>
  </si>
  <si>
    <t>SALES JOURNAL</t>
  </si>
  <si>
    <t xml:space="preserve">CANADIAN BROKER JOURNAL </t>
  </si>
  <si>
    <t xml:space="preserve">US BROKER JOURNAL </t>
  </si>
  <si>
    <t xml:space="preserve">OPENING BALANCES </t>
  </si>
  <si>
    <t>MAPPING OF BROKERS TRANSACTIONS TO TRANSACTION TYPE</t>
  </si>
  <si>
    <t>EMPLOYEE MASTER FILE</t>
  </si>
  <si>
    <t>CONTENT</t>
  </si>
  <si>
    <t>Phone #000 -123-4567</t>
  </si>
  <si>
    <t>EZ LEDGERS INC.</t>
  </si>
  <si>
    <t>CHEQUE DISBURSEMENTS JOURNALS</t>
  </si>
  <si>
    <t>COMPARATIVE 2 YEAR FINANICAL STATEMENTS</t>
  </si>
  <si>
    <t>COMPARATIVE 5 YEAR FINANICAL STATEMENTS</t>
  </si>
  <si>
    <t>VENDORS</t>
  </si>
  <si>
    <t>SYMBOLS</t>
  </si>
  <si>
    <t>Interest 
Type</t>
  </si>
  <si>
    <t>Interest
Rate</t>
  </si>
  <si>
    <t>NBV</t>
  </si>
  <si>
    <t>Payment
Type</t>
  </si>
  <si>
    <t>Payment
Schedule</t>
  </si>
  <si>
    <t>Payment
Amount</t>
  </si>
  <si>
    <t>Amount
Due 1 Yr</t>
  </si>
  <si>
    <t>Monthly</t>
  </si>
  <si>
    <t>Principal Payments due over the next five years</t>
  </si>
  <si>
    <t>2025</t>
  </si>
  <si>
    <t>2026</t>
  </si>
  <si>
    <t>2027</t>
  </si>
  <si>
    <t>2028</t>
  </si>
  <si>
    <t>2029</t>
  </si>
  <si>
    <t>3110 Conditional Sales Contract</t>
  </si>
  <si>
    <t>Financial Statement Presentation</t>
  </si>
  <si>
    <t>6.9% Mortgage due in monthly principal and interest payments amounting to $940. Secured by land and building having a net book value of $71,071</t>
  </si>
  <si>
    <t>GRANT</t>
  </si>
  <si>
    <t xml:space="preserve">Sysco </t>
  </si>
  <si>
    <t>Eastern Market Wholesale</t>
  </si>
  <si>
    <t>Motor City Beverage Company</t>
  </si>
  <si>
    <t>G-1002</t>
  </si>
  <si>
    <t>Great Lakes Gas</t>
  </si>
  <si>
    <t>R-1099</t>
  </si>
  <si>
    <t xml:space="preserve">Rock Security </t>
  </si>
  <si>
    <t>L-1000</t>
  </si>
  <si>
    <t xml:space="preserve">Level One Bank </t>
  </si>
  <si>
    <t>Detrioit</t>
  </si>
  <si>
    <t>12800 Henry Ruff Rd,</t>
  </si>
  <si>
    <t>Oak Park</t>
  </si>
  <si>
    <t>2442 Russell St</t>
  </si>
  <si>
    <t>4545 Beaufait St</t>
  </si>
  <si>
    <t>1 Energy Plaza,</t>
  </si>
  <si>
    <t>4151 Cass Ave</t>
  </si>
  <si>
    <t>32991 Hamilton Ct</t>
  </si>
  <si>
    <t xml:space="preserve"> Farmington Hills,</t>
  </si>
  <si>
    <t>44 Russell St.</t>
  </si>
  <si>
    <t>800 Henry Ruff Rd</t>
  </si>
  <si>
    <t>St. Louis, MO</t>
  </si>
  <si>
    <t>63179-0400</t>
  </si>
  <si>
    <t>Pittsburgh, PA</t>
  </si>
  <si>
    <t>Lockbox 643270</t>
  </si>
  <si>
    <t>15264-3270</t>
  </si>
  <si>
    <t>DETROIT</t>
  </si>
  <si>
    <t xml:space="preserve">L-1000 Level One Bank </t>
  </si>
  <si>
    <t>E-1000 Eastern Market Wholesale</t>
  </si>
  <si>
    <t>G-1002 Great Lakes Gas</t>
  </si>
  <si>
    <t xml:space="preserve">R-1099 Rock Security </t>
  </si>
  <si>
    <t>M-1000 Motor City Beverage Company</t>
  </si>
  <si>
    <t xml:space="preserve">S-1000 Sysco </t>
  </si>
  <si>
    <t>1300</t>
  </si>
  <si>
    <t>1484</t>
  </si>
  <si>
    <t>1918</t>
  </si>
  <si>
    <t>1919</t>
  </si>
  <si>
    <t>2012</t>
  </si>
  <si>
    <t>Goodwill</t>
  </si>
  <si>
    <t>2013</t>
  </si>
  <si>
    <t>2016</t>
  </si>
  <si>
    <t>2017</t>
  </si>
  <si>
    <t>2427</t>
  </si>
  <si>
    <t>3100</t>
  </si>
  <si>
    <t>4020</t>
  </si>
  <si>
    <t>4030</t>
  </si>
  <si>
    <t xml:space="preserve"> Miscellaneous</t>
  </si>
  <si>
    <t>4035</t>
  </si>
  <si>
    <t xml:space="preserve"> Gift Cards Sales</t>
  </si>
  <si>
    <t>4040</t>
  </si>
  <si>
    <t xml:space="preserve"> Overages and shortages</t>
  </si>
  <si>
    <t>5195</t>
  </si>
  <si>
    <t>5196</t>
  </si>
  <si>
    <t>5500</t>
  </si>
  <si>
    <t>5600</t>
  </si>
  <si>
    <t>6175</t>
  </si>
  <si>
    <t>6176</t>
  </si>
  <si>
    <t>6185</t>
  </si>
  <si>
    <t>6186</t>
  </si>
  <si>
    <t>6210</t>
  </si>
  <si>
    <t>6230</t>
  </si>
  <si>
    <t>6240</t>
  </si>
  <si>
    <t xml:space="preserve"> Interac charges</t>
  </si>
  <si>
    <t>6310</t>
  </si>
  <si>
    <t>6330</t>
  </si>
  <si>
    <t>6360</t>
  </si>
  <si>
    <t>6380</t>
  </si>
  <si>
    <t>6390</t>
  </si>
  <si>
    <t>6410</t>
  </si>
  <si>
    <t>6420</t>
  </si>
  <si>
    <t>6430</t>
  </si>
  <si>
    <t>6440</t>
  </si>
  <si>
    <t>6450</t>
  </si>
  <si>
    <t>6455</t>
  </si>
  <si>
    <t>6460</t>
  </si>
  <si>
    <t>6480</t>
  </si>
  <si>
    <t>6487</t>
  </si>
  <si>
    <t>6495</t>
  </si>
  <si>
    <t>6497</t>
  </si>
  <si>
    <t>6510</t>
  </si>
  <si>
    <t>6625</t>
  </si>
  <si>
    <t xml:space="preserve"> Uniforms</t>
  </si>
  <si>
    <t>6630</t>
  </si>
  <si>
    <t xml:space="preserve"> Kitchen Supplies</t>
  </si>
  <si>
    <t>6640</t>
  </si>
  <si>
    <t xml:space="preserve"> Computer/Cash Register</t>
  </si>
  <si>
    <t>6650</t>
  </si>
  <si>
    <t xml:space="preserve"> Music System</t>
  </si>
  <si>
    <t>6660</t>
  </si>
  <si>
    <t xml:space="preserve"> Bathroom supplies</t>
  </si>
  <si>
    <t>6670</t>
  </si>
  <si>
    <t xml:space="preserve"> Miscellaneous supplies (L</t>
  </si>
  <si>
    <t>6680</t>
  </si>
  <si>
    <t xml:space="preserve"> Cleaning supplies</t>
  </si>
  <si>
    <t>6690</t>
  </si>
  <si>
    <t>6695</t>
  </si>
  <si>
    <t>Vehicle lease</t>
  </si>
  <si>
    <t>6741</t>
  </si>
  <si>
    <t>6742</t>
  </si>
  <si>
    <t>6745</t>
  </si>
  <si>
    <t>2214 Due to a Related Party</t>
  </si>
  <si>
    <t>3190 Dividends</t>
  </si>
  <si>
    <t>107</t>
  </si>
  <si>
    <t>106</t>
  </si>
  <si>
    <t>4140 Foreign Taxes Paid Total</t>
  </si>
  <si>
    <t>1101</t>
  </si>
  <si>
    <t>Cash on hand</t>
  </si>
  <si>
    <t>Inventory</t>
  </si>
  <si>
    <t>Prepaid expenses</t>
  </si>
  <si>
    <t>Prepaid expense</t>
  </si>
  <si>
    <t>Goodwill accumulated amortization</t>
  </si>
  <si>
    <t>Accumulated amortization goodwill</t>
  </si>
  <si>
    <t>Franchise Fee</t>
  </si>
  <si>
    <t>Franchise Fee accumulated amortization</t>
  </si>
  <si>
    <t>Cash Surrender of Life Insurance</t>
  </si>
  <si>
    <t>Union dues payable</t>
  </si>
  <si>
    <t>2151</t>
  </si>
  <si>
    <t>Deferred Income tax</t>
  </si>
  <si>
    <t>Beverages</t>
  </si>
  <si>
    <t>Miscellaneous revenue</t>
  </si>
  <si>
    <t>Direct Labour</t>
  </si>
  <si>
    <t>Direct labour wage costs</t>
  </si>
  <si>
    <t>Direct supplies</t>
  </si>
  <si>
    <t>Executive salaries</t>
  </si>
  <si>
    <t>Executive wage costs</t>
  </si>
  <si>
    <t>Admin Salaries</t>
  </si>
  <si>
    <t>Admin Wage costs</t>
  </si>
  <si>
    <t>6220</t>
  </si>
  <si>
    <t>Franchise fees</t>
  </si>
  <si>
    <t>6512</t>
  </si>
  <si>
    <t>6514</t>
  </si>
  <si>
    <t>Alarm</t>
  </si>
  <si>
    <t>Repairs and maintenance</t>
  </si>
  <si>
    <t>Snow clearing</t>
  </si>
  <si>
    <t>Equipment repairs</t>
  </si>
  <si>
    <t>H20</t>
  </si>
  <si>
    <t>SUPPLIES</t>
  </si>
  <si>
    <t>4007</t>
  </si>
  <si>
    <t>9133</t>
  </si>
  <si>
    <t>6743</t>
  </si>
  <si>
    <t>6744</t>
  </si>
  <si>
    <t>2012 Goodwill</t>
  </si>
  <si>
    <t>4010 Sales</t>
  </si>
  <si>
    <t>4035  Gift Cards Sales</t>
  </si>
  <si>
    <t>4040  Overages and shortages</t>
  </si>
  <si>
    <t>4300 Fundraiser Revenue</t>
  </si>
  <si>
    <t>4400 Gain on Sale of Vehicle</t>
  </si>
  <si>
    <t>5110  Staff developemnt</t>
  </si>
  <si>
    <t>5197  Direct labour Wkmen's Com</t>
  </si>
  <si>
    <t>5198  Health Insurance</t>
  </si>
  <si>
    <t>5199  CPP, EI Employer's cost</t>
  </si>
  <si>
    <t>6240  Interac charges</t>
  </si>
  <si>
    <t>6380 Meals and entertainment</t>
  </si>
  <si>
    <t>6625  Uniforms</t>
  </si>
  <si>
    <t>6630  Kitchen Supplies</t>
  </si>
  <si>
    <t>6640  Computer/Cash Register</t>
  </si>
  <si>
    <t>6650  Music System</t>
  </si>
  <si>
    <t>6660  Bathroom supplies</t>
  </si>
  <si>
    <t>6670  Miscellaneous supplies (L</t>
  </si>
  <si>
    <t>6680  Cleaning supplies</t>
  </si>
  <si>
    <t>6695  Miscellaneous</t>
  </si>
  <si>
    <t>6741 Vehicle Expense</t>
  </si>
  <si>
    <t>6742 Vehicle repairs</t>
  </si>
  <si>
    <t>6743 Vehicle lease</t>
  </si>
  <si>
    <t xml:space="preserve">6745 Vehicle Insurance </t>
  </si>
  <si>
    <t>1101 Cash on hand</t>
  </si>
  <si>
    <t>1300 Inventory</t>
  </si>
  <si>
    <t>1484 Prepaid expenses</t>
  </si>
  <si>
    <t>1742 Automobile</t>
  </si>
  <si>
    <t>2013 Goodwill accumulated amortization</t>
  </si>
  <si>
    <t>2016 Franchise Fee</t>
  </si>
  <si>
    <t>2017 Franchise Fee accumulated amortization</t>
  </si>
  <si>
    <t>2161 Union dues payable</t>
  </si>
  <si>
    <t>3100 Deferred Income tax</t>
  </si>
  <si>
    <t>4020 Beverages</t>
  </si>
  <si>
    <t>4030 Miscellaneous revenue</t>
  </si>
  <si>
    <t>5195 Direct Labour</t>
  </si>
  <si>
    <t>5196 Direct labour wage costs</t>
  </si>
  <si>
    <t>5500 Cost of Sales</t>
  </si>
  <si>
    <t>5600 Direct supplies</t>
  </si>
  <si>
    <t>6175 Executive salaries</t>
  </si>
  <si>
    <t>6176 Executive wage costs</t>
  </si>
  <si>
    <t>6185 Admin Salaries</t>
  </si>
  <si>
    <t>6186 Admin Wage costs</t>
  </si>
  <si>
    <t>6210 Bank Service Charges</t>
  </si>
  <si>
    <t>6230 Interest Long Term Debt</t>
  </si>
  <si>
    <t>6310 Franchise fees</t>
  </si>
  <si>
    <t>6330 Advertising and Promotion</t>
  </si>
  <si>
    <t>6390 Conventions, seminars</t>
  </si>
  <si>
    <t>6410 Rent</t>
  </si>
  <si>
    <t>6420 Municipal taxes</t>
  </si>
  <si>
    <t>6430 Light and heat</t>
  </si>
  <si>
    <t>6440 Alarm</t>
  </si>
  <si>
    <t>6455 Snow clearing</t>
  </si>
  <si>
    <t>6460 Equipment repairs</t>
  </si>
  <si>
    <t>6510 Professional fees</t>
  </si>
  <si>
    <t>6512 Telephone</t>
  </si>
  <si>
    <t>6360 Charitable Contributions</t>
  </si>
  <si>
    <t>1101 Cash on hand Total</t>
  </si>
  <si>
    <t>1300 Inventory Total</t>
  </si>
  <si>
    <t>1484 Prepaid expenses Total</t>
  </si>
  <si>
    <t>1742 Automobile Total</t>
  </si>
  <si>
    <t>2016 Franchise Fee Total</t>
  </si>
  <si>
    <t>2017 Franchise Fee accumulated amortization Total</t>
  </si>
  <si>
    <t>2160 Payroll Clearing Total</t>
  </si>
  <si>
    <t>2161 Union dues payable Total</t>
  </si>
  <si>
    <t>2214 Due to a Related Party Total</t>
  </si>
  <si>
    <t>3100 Deferred Income tax Total</t>
  </si>
  <si>
    <t>3190 Dividends Total</t>
  </si>
  <si>
    <t>4010 Sales Total</t>
  </si>
  <si>
    <t>4020 Beverages Total</t>
  </si>
  <si>
    <t>4030 Miscellaneous revenue Total</t>
  </si>
  <si>
    <t>4035  Gift Cards Sales Total</t>
  </si>
  <si>
    <t>4040  Overages and shortages Total</t>
  </si>
  <si>
    <t>5195 Direct Labour Total</t>
  </si>
  <si>
    <t>5196 Direct labour wage costs Total</t>
  </si>
  <si>
    <t>5500 Cost of Sales Total</t>
  </si>
  <si>
    <t>5600 Direct supplies Total</t>
  </si>
  <si>
    <t>6175 Executive salaries Total</t>
  </si>
  <si>
    <t>6176 Executive wage costs Total</t>
  </si>
  <si>
    <t>6185 Admin Salaries Total</t>
  </si>
  <si>
    <t>6186 Admin Wage costs Total</t>
  </si>
  <si>
    <t>6210 Bank Service Charges Total</t>
  </si>
  <si>
    <t>6230 Interest Long Term Debt Total</t>
  </si>
  <si>
    <t>6240  Interac charges Total</t>
  </si>
  <si>
    <t>6310 Franchise fees Total</t>
  </si>
  <si>
    <t>6330 Advertising and Promotion Total</t>
  </si>
  <si>
    <t>6360 Charitable Contributions Total</t>
  </si>
  <si>
    <t>6380 Meals and entertainment Total</t>
  </si>
  <si>
    <t>6410 Rent Total</t>
  </si>
  <si>
    <t>6420 Municipal taxes Total</t>
  </si>
  <si>
    <t>6430 Light and heat Total</t>
  </si>
  <si>
    <t>6440 Alarm Total</t>
  </si>
  <si>
    <t>6455 Snow clearing Total</t>
  </si>
  <si>
    <t>6460 Equipment repairs Total</t>
  </si>
  <si>
    <t>6510 Professional fees Total</t>
  </si>
  <si>
    <t>6512 Telephone Total</t>
  </si>
  <si>
    <t>6625  Uniforms Total</t>
  </si>
  <si>
    <t>6630  Kitchen Supplies Total</t>
  </si>
  <si>
    <t>6640  Computer/Cash Register Total</t>
  </si>
  <si>
    <t>6650  Music System Total</t>
  </si>
  <si>
    <t>6660  Bathroom supplies Total</t>
  </si>
  <si>
    <t>6670  Miscellaneous supplies (L Total</t>
  </si>
  <si>
    <t>6680  Cleaning supplies Total</t>
  </si>
  <si>
    <t>6695  Miscellaneous Total</t>
  </si>
  <si>
    <t>6741 Vehicle Expense Total</t>
  </si>
  <si>
    <t>6742 Vehicle repairs Total</t>
  </si>
  <si>
    <t>6743 Vehicle lease Total</t>
  </si>
  <si>
    <t>6745 Vehicle Insurance  Total</t>
  </si>
  <si>
    <t>8340</t>
  </si>
  <si>
    <t>8961</t>
  </si>
  <si>
    <t>9013</t>
  </si>
  <si>
    <t>8716</t>
  </si>
  <si>
    <t>Supplies</t>
  </si>
  <si>
    <t>9130</t>
  </si>
  <si>
    <t>8763</t>
  </si>
  <si>
    <t>0H20</t>
  </si>
  <si>
    <t>Franchise Fees</t>
  </si>
  <si>
    <t>Accumulated amortization Franchise Fee</t>
  </si>
  <si>
    <t>Direct Supplies</t>
  </si>
  <si>
    <t>Purchases</t>
  </si>
  <si>
    <t>8350</t>
  </si>
  <si>
    <t>COST OF SALES</t>
  </si>
  <si>
    <t>Store supplies</t>
  </si>
  <si>
    <t>CCJ</t>
  </si>
  <si>
    <t>Fast Food Supplies</t>
  </si>
  <si>
    <t>Detriot Cleaners</t>
  </si>
  <si>
    <t>WAGE JOURNAL</t>
  </si>
  <si>
    <t>WJ</t>
  </si>
  <si>
    <t>PURCHASE JOURNAL</t>
  </si>
  <si>
    <t>BALANCE
DUE</t>
  </si>
  <si>
    <t>249999</t>
  </si>
  <si>
    <t xml:space="preserve"> FRED BLOGGS</t>
  </si>
  <si>
    <t>JUNCTIA BLOGGS</t>
  </si>
  <si>
    <t>BB1</t>
  </si>
  <si>
    <t>2162 Payroll Liabilities Total</t>
  </si>
  <si>
    <t xml:space="preserve"> 4</t>
  </si>
  <si>
    <t xml:space="preserve"> 5</t>
  </si>
  <si>
    <t>A.1</t>
  </si>
  <si>
    <t xml:space="preserve">THE PURPOSE OF THIS WORKSHEET IS TO: General ledger trial balance recast by FSLine and rounded 
</t>
  </si>
  <si>
    <t>GENERAL LEDGER TRAIL BALANCE BY FSLINE</t>
  </si>
  <si>
    <t xml:space="preserve">GENERAL LEDGER TRAIL BALANCE </t>
  </si>
  <si>
    <t>THE PURPOSE OF THIS WORKSHEET IS TO:  LIST BALANCES OF GENERAL LEDGER BY ACCOUNT</t>
  </si>
  <si>
    <t xml:space="preserve">GENERAL LEDGER </t>
  </si>
  <si>
    <t>GL</t>
  </si>
  <si>
    <t>THE PURPOSE OF THIS WORKSHEET IS TO:  LIST ALL TRANSACTIONS BY GENERAL LEDGER ACCOUNT</t>
  </si>
  <si>
    <t>B1</t>
  </si>
  <si>
    <t>AR ACCOUNT</t>
  </si>
  <si>
    <t>COUNT</t>
  </si>
  <si>
    <t>COUNT2</t>
  </si>
  <si>
    <t>PAYMENT</t>
  </si>
  <si>
    <t>DD1</t>
  </si>
  <si>
    <t>FF1</t>
  </si>
  <si>
    <t>STATISTICS</t>
  </si>
  <si>
    <t>INCOME (LOSS) FROM TRADING</t>
  </si>
  <si>
    <t>TRANSACTION COUNT</t>
  </si>
  <si>
    <t>GAIN</t>
  </si>
  <si>
    <t>LOSS</t>
  </si>
  <si>
    <t>GAIN
(LOSS)</t>
  </si>
  <si>
    <t>PROCEEDES</t>
  </si>
  <si>
    <t>YIELD</t>
  </si>
  <si>
    <t>SALE
 REF</t>
  </si>
  <si>
    <t>CANADIAN</t>
  </si>
  <si>
    <t>HOLDING
 REF</t>
  </si>
  <si>
    <t>Automobile:Accum Dep</t>
  </si>
  <si>
    <t>1743 Automobile:Accum Dep</t>
  </si>
  <si>
    <t xml:space="preserve">Leashold Improvements </t>
  </si>
  <si>
    <t>1743 Automobile:Accum Dep Total</t>
  </si>
  <si>
    <t>3120 Bank term loan Total</t>
  </si>
  <si>
    <t>Variable</t>
  </si>
  <si>
    <t>Banks
prime +.5%</t>
  </si>
  <si>
    <t>Principal +
Interest</t>
  </si>
  <si>
    <t>Debenture</t>
  </si>
  <si>
    <t>Conditional sales Contract</t>
  </si>
  <si>
    <t>Conditional Sales Contract</t>
  </si>
  <si>
    <t>ACCOUNTS PAYABLE LISTING</t>
  </si>
  <si>
    <t>Accumulated amortization automobile</t>
  </si>
  <si>
    <t>TD ADJ</t>
  </si>
  <si>
    <t>129</t>
  </si>
  <si>
    <t>134</t>
  </si>
  <si>
    <t>137</t>
  </si>
  <si>
    <t>140</t>
  </si>
  <si>
    <t>142</t>
  </si>
  <si>
    <t>149</t>
  </si>
  <si>
    <t>151</t>
  </si>
  <si>
    <t>154</t>
  </si>
  <si>
    <t>155</t>
  </si>
  <si>
    <t>158</t>
  </si>
  <si>
    <t>160</t>
  </si>
  <si>
    <t>163</t>
  </si>
  <si>
    <t>128</t>
  </si>
  <si>
    <t>1139 Exchange/mark to market Total</t>
  </si>
  <si>
    <t>130</t>
  </si>
  <si>
    <t>131</t>
  </si>
  <si>
    <t>133</t>
  </si>
  <si>
    <t>136</t>
  </si>
  <si>
    <t>138</t>
  </si>
  <si>
    <t>139</t>
  </si>
  <si>
    <t>141</t>
  </si>
  <si>
    <t>143</t>
  </si>
  <si>
    <t>152</t>
  </si>
  <si>
    <t>153</t>
  </si>
  <si>
    <t>132</t>
  </si>
  <si>
    <t>135</t>
  </si>
  <si>
    <t>144</t>
  </si>
  <si>
    <t>145</t>
  </si>
  <si>
    <t>146</t>
  </si>
  <si>
    <t>147</t>
  </si>
  <si>
    <t>148</t>
  </si>
  <si>
    <t>150</t>
  </si>
  <si>
    <t>156</t>
  </si>
  <si>
    <t>157</t>
  </si>
  <si>
    <t>159</t>
  </si>
  <si>
    <t>161</t>
  </si>
  <si>
    <t>162</t>
  </si>
  <si>
    <t>164</t>
  </si>
  <si>
    <t>MKT 
VALUE</t>
  </si>
  <si>
    <t>HOLDING
GAIN
(LOSS)</t>
  </si>
  <si>
    <t xml:space="preserve">CASH </t>
  </si>
  <si>
    <t>JE</t>
  </si>
  <si>
    <t>TO SHOW MKT SECURITIES AT MARKET</t>
  </si>
  <si>
    <t>4190 Unrealized gain/loss on Canadian securities</t>
  </si>
  <si>
    <t>1</t>
  </si>
  <si>
    <t>4190 Unrealized gain/loss on Canadian securities Total</t>
  </si>
  <si>
    <t>8312</t>
  </si>
  <si>
    <t>UNREALIZED GAINS (LOSESS)</t>
  </si>
  <si>
    <t>5.5% Bank Term Loan due in monthly principal payments amounting to $9,200 plus interst. Secured by a debenture over all the assets on the company having a net book value approximating  $1,565,000</t>
  </si>
  <si>
    <t>GROSS PROFIT %</t>
  </si>
  <si>
    <t>Column7</t>
  </si>
  <si>
    <t xml:space="preserve">SCHEDULE OF OPERATING EXPENSES </t>
  </si>
  <si>
    <t xml:space="preserve"> Building  accumulated amortization</t>
  </si>
  <si>
    <t xml:space="preserve">Leasehold improvements </t>
  </si>
  <si>
    <t>Leasehold improvements accumulated Amortization</t>
  </si>
  <si>
    <t>Accumulated amortization leaseholds</t>
  </si>
  <si>
    <t>Consult anting fees</t>
  </si>
  <si>
    <t>Building insurance</t>
  </si>
  <si>
    <t xml:space="preserve"> Pens, Stationery etc.</t>
  </si>
  <si>
    <t>ANONYMOUS COMPANY</t>
  </si>
  <si>
    <t xml:space="preserve">Ai insites to the 5 year Financial statements </t>
  </si>
  <si>
    <t xml:space="preserve">THE PURPOSE OF THIS WORKSHEET IS TO Document the Ai Prompt and to record their response
</t>
  </si>
  <si>
    <t>📌 Executive Summary</t>
  </si>
  <si>
    <t>Anonymous Company has demonstrated steady top-line growth over the five-year period, with sales increasing from $4.33M in 2020 to $6.26M in 2024—a compound annual growth rate (CAGR) of approximately 9.2%, which is healthy for a regional fast food chain. However, profitability has been inconsistent, with net income fluctuating and margins narrowing in recent years. Key concerns include rising operating expenses, declining gross margins, and elevated marketing and premises costs. The company’s capital structure remains stable, though liquidity has weakened in 2024. Overall, while growth is evident, operational efficiency and cost control need attention to sustain profitability.</t>
  </si>
  <si>
    <t>📊 Detailed Operating Review</t>
  </si>
  <si>
    <t>1. Revenue Trends</t>
  </si>
  <si>
    <r>
      <t>Sales Growth</t>
    </r>
    <r>
      <rPr>
        <sz val="10"/>
        <color rgb="FF000000"/>
        <rFont val="Arial"/>
        <family val="2"/>
      </rPr>
      <t>: From $4.33M in 2020 to $6.26M in 2024.</t>
    </r>
  </si>
  <si>
    <t>This growth aligns with expectations for a regional fast food chain expanding its footprint or increasing same-store sales.</t>
  </si>
  <si>
    <r>
      <t>Year-over-Year Growth</t>
    </r>
    <r>
      <rPr>
        <sz val="10"/>
        <color rgb="FF000000"/>
        <rFont val="Arial"/>
        <family val="2"/>
      </rPr>
      <t>:</t>
    </r>
  </si>
  <si>
    <t>2021–2022: +1.25%</t>
  </si>
  <si>
    <t>2022–2023: +6.9%</t>
  </si>
  <si>
    <t>2023–2024: +3.3%</t>
  </si>
  <si>
    <t>Growth has slowed slightly in 2024, possibly due to market saturation or macroeconomic headwinds.</t>
  </si>
  <si>
    <t>2. Gross Profit and Margin</t>
  </si>
  <si>
    <r>
      <t>Gross Profit Margin</t>
    </r>
    <r>
      <rPr>
        <sz val="10"/>
        <color rgb="FF000000"/>
        <rFont val="Arial"/>
        <family val="2"/>
      </rPr>
      <t xml:space="preserve"> declined from 46.1% in 2022 to 41.9% in 2024.</t>
    </r>
  </si>
  <si>
    <t>Industry benchmark: ~45–50% for franchised fast food.</t>
  </si>
  <si>
    <r>
      <t>Cost Drivers</t>
    </r>
    <r>
      <rPr>
        <sz val="10"/>
        <color rgb="FF000000"/>
        <rFont val="Arial"/>
        <family val="2"/>
      </rPr>
      <t>:</t>
    </r>
  </si>
  <si>
    <t>Direct labor increased 50% from 2020 to 2024.</t>
  </si>
  <si>
    <t>Purchases rose 33% over the same period.</t>
  </si>
  <si>
    <t>Suggests wage inflation and supply chain pressures.</t>
  </si>
  <si>
    <t>3. Operating Expenses</t>
  </si>
  <si>
    <r>
      <t>Total Operating Expenses</t>
    </r>
    <r>
      <rPr>
        <sz val="10"/>
        <color rgb="FF000000"/>
        <rFont val="Arial"/>
        <family val="2"/>
      </rPr>
      <t xml:space="preserve"> rose from $1.59M in 2020 to $2.56M in 2024.</t>
    </r>
  </si>
  <si>
    <r>
      <t>Marketing</t>
    </r>
    <r>
      <rPr>
        <sz val="10"/>
        <color rgb="FF000000"/>
        <rFont val="Arial"/>
        <family val="2"/>
      </rPr>
      <t>: $942K in 2024 (15% of sales), significantly higher than industry norms (~5–8%).</t>
    </r>
  </si>
  <si>
    <r>
      <t>Premises</t>
    </r>
    <r>
      <rPr>
        <sz val="10"/>
        <color rgb="FF000000"/>
        <rFont val="Arial"/>
        <family val="2"/>
      </rPr>
      <t>: $650K in 2024, up 71% from 2020.</t>
    </r>
  </si>
  <si>
    <r>
      <t>Salaries</t>
    </r>
    <r>
      <rPr>
        <sz val="10"/>
        <color rgb="FF000000"/>
        <rFont val="Arial"/>
        <family val="2"/>
      </rPr>
      <t>: Fluctuated, peaking in 2023 at $841K, then reduced to $450K in 2024—possibly due to restructuring or automation.</t>
    </r>
  </si>
  <si>
    <r>
      <t>Amortization</t>
    </r>
    <r>
      <rPr>
        <sz val="10"/>
        <color rgb="FF000000"/>
        <rFont val="Arial"/>
        <family val="2"/>
      </rPr>
      <t>: Jumped in 2024, indicating recent capital investments.</t>
    </r>
  </si>
  <si>
    <t>4. Net Income and Profitability</t>
  </si>
  <si>
    <r>
      <t>Net Income</t>
    </r>
    <r>
      <rPr>
        <sz val="10"/>
        <color rgb="FF000000"/>
        <rFont val="Arial"/>
        <family val="2"/>
      </rPr>
      <t>: Peaked in 2022 at $286K, dropped to $57K in 2024.</t>
    </r>
  </si>
  <si>
    <r>
      <t>Net Margin</t>
    </r>
    <r>
      <rPr>
        <sz val="10"/>
        <color rgb="FF000000"/>
        <rFont val="Arial"/>
        <family val="2"/>
      </rPr>
      <t>: Fell from 5.1% in 2022 to 0.9% in 2024.</t>
    </r>
  </si>
  <si>
    <t>Below industry average of ~5–10%.</t>
  </si>
  <si>
    <r>
      <t>Dividends</t>
    </r>
    <r>
      <rPr>
        <sz val="10"/>
        <color rgb="FF000000"/>
        <rFont val="Arial"/>
        <family val="2"/>
      </rPr>
      <t>: Paid in 2024 despite low net income, which may strain retained earnings.</t>
    </r>
  </si>
  <si>
    <t>5. Balance Sheet Health</t>
  </si>
  <si>
    <r>
      <t>Assets</t>
    </r>
    <r>
      <rPr>
        <sz val="10"/>
        <color rgb="FF000000"/>
        <rFont val="Arial"/>
        <family val="2"/>
      </rPr>
      <t>: $1.39M in 2024, down from $1.56M in 2023.</t>
    </r>
  </si>
  <si>
    <t>Cash dropped sharply to $79K in 2024.</t>
  </si>
  <si>
    <r>
      <t>Liabilities</t>
    </r>
    <r>
      <rPr>
        <sz val="10"/>
        <color rgb="FF000000"/>
        <rFont val="Arial"/>
        <family val="2"/>
      </rPr>
      <t>: Stable, but current liabilities rose 35% in 2024.</t>
    </r>
  </si>
  <si>
    <r>
      <t>Equity</t>
    </r>
    <r>
      <rPr>
        <sz val="10"/>
        <color rgb="FF000000"/>
        <rFont val="Arial"/>
        <family val="2"/>
      </rPr>
      <t>: Retained earnings declined due to dividend payouts and lower profits.</t>
    </r>
  </si>
  <si>
    <t>6. Capital Investment</t>
  </si>
  <si>
    <r>
      <t>Capital Assets</t>
    </r>
    <r>
      <rPr>
        <sz val="10"/>
        <color rgb="FF000000"/>
        <rFont val="Arial"/>
        <family val="2"/>
      </rPr>
      <t>: $1.99M in 2024, up from $1.3M in 2023.</t>
    </r>
  </si>
  <si>
    <t>Indicates expansion or renovation.</t>
  </si>
  <si>
    <r>
      <t>Long-Term Debt</t>
    </r>
    <r>
      <rPr>
        <sz val="10"/>
        <color rgb="FF000000"/>
        <rFont val="Arial"/>
        <family val="2"/>
      </rPr>
      <t>: Declining, suggesting repayment discipline.</t>
    </r>
  </si>
  <si>
    <t>7. Liquidity and Cash Flow</t>
  </si>
  <si>
    <r>
      <t>Cash Position</t>
    </r>
    <r>
      <rPr>
        <sz val="10"/>
        <color rgb="FF000000"/>
        <rFont val="Arial"/>
        <family val="2"/>
      </rPr>
      <t>: Weak in 2024, may affect short-term obligations.</t>
    </r>
  </si>
  <si>
    <r>
      <t>Accounts Receivable and Inventory</t>
    </r>
    <r>
      <rPr>
        <sz val="10"/>
        <color rgb="FF000000"/>
        <rFont val="Arial"/>
        <family val="2"/>
      </rPr>
      <t>: Minimal, typical for fast food operations.</t>
    </r>
  </si>
  <si>
    <t>🧭 Strategic Insights &amp; Recommendations</t>
  </si>
  <si>
    <r>
      <t>Cost Optimization</t>
    </r>
    <r>
      <rPr>
        <sz val="10"/>
        <color rgb="FF000000"/>
        <rFont val="Arial"/>
        <family val="2"/>
      </rPr>
      <t>: Reassess marketing spend and premises costs. Consider renegotiating leases or consolidating locations.</t>
    </r>
  </si>
  <si>
    <r>
      <t>Margin Recovery</t>
    </r>
    <r>
      <rPr>
        <sz val="10"/>
        <color rgb="FF000000"/>
        <rFont val="Arial"/>
        <family val="2"/>
      </rPr>
      <t>: Focus on menu engineering, supplier negotiations, and labor efficiency.</t>
    </r>
  </si>
  <si>
    <r>
      <t>Cash Flow Management</t>
    </r>
    <r>
      <rPr>
        <sz val="10"/>
        <color rgb="FF000000"/>
        <rFont val="Arial"/>
        <family val="2"/>
      </rPr>
      <t>: Improve working capital and delay non-essential dividends.</t>
    </r>
  </si>
  <si>
    <r>
      <t>Growth Strategy</t>
    </r>
    <r>
      <rPr>
        <sz val="10"/>
        <color rgb="FF000000"/>
        <rFont val="Arial"/>
        <family val="2"/>
      </rPr>
      <t>: Leverage capital investments to boost revenue—possibly through new locations or digital channels.</t>
    </r>
  </si>
  <si>
    <r>
      <t>Benchmarking</t>
    </r>
    <r>
      <rPr>
        <sz val="10"/>
        <color rgb="FF000000"/>
        <rFont val="Arial"/>
        <family val="2"/>
      </rPr>
      <t>: Compare performance with similar regional franchises to identify best practices.</t>
    </r>
  </si>
  <si>
    <t>I have the five year financial statements for anonymous company ending in December 31, 2024 which I will attach as a PDF file to this prompt. This company operates a chain of franchised fast food restaurants in the Detroit area and I need an operating review. Please match their results with what you would expect and provide a detailed report together with an executive summary.</t>
  </si>
  <si>
    <t>📌 Ai PROMPT</t>
  </si>
  <si>
    <t>B.1</t>
  </si>
  <si>
    <t>CORPORATE INCOME TAX</t>
  </si>
  <si>
    <t>Ai PROMPT AND RESPONSE</t>
  </si>
  <si>
    <t>MARKETABLE SECURITIES TRADES</t>
  </si>
  <si>
    <t>MARKETABLE SECURITIES -HOLDINGS</t>
  </si>
  <si>
    <t>3150 Principal due within 1 year-LTD</t>
  </si>
  <si>
    <t>2998 Current principal payments Total</t>
  </si>
  <si>
    <t>(blank)</t>
  </si>
  <si>
    <t>3150 Principal due within 1 year-LTD Total</t>
  </si>
  <si>
    <t xml:space="preserve">1918 Leasehold improvements </t>
  </si>
  <si>
    <t>1919 Leasehold improvements accumulated Amortization</t>
  </si>
  <si>
    <t>1918 Leasehold improvements  Total</t>
  </si>
  <si>
    <t>1919 Leasehold improvements accumulated Amortization Total</t>
  </si>
  <si>
    <t>4191</t>
  </si>
  <si>
    <t>4191 Unrealized gain/loss on foreign securities</t>
  </si>
  <si>
    <t>4191 Unrealized gain/loss on foreign securities Total</t>
  </si>
  <si>
    <t xml:space="preserve">2990 Due from a shareholder </t>
  </si>
  <si>
    <t>2990 Due from a shareholder  Total</t>
  </si>
  <si>
    <t>Property repairs</t>
  </si>
  <si>
    <t>6450 Property repairs</t>
  </si>
  <si>
    <t>6450 Property repairs Total</t>
  </si>
  <si>
    <t>6480 Building insurance</t>
  </si>
  <si>
    <t>6480 Building insurance Total</t>
  </si>
  <si>
    <t>6690  Pens, Stationery etc.</t>
  </si>
  <si>
    <t>6690  Pens, Stationery etc. Total</t>
  </si>
  <si>
    <t>Transaction count</t>
  </si>
  <si>
    <t>Failed login attempts</t>
  </si>
  <si>
    <t>Version ID</t>
  </si>
  <si>
    <t xml:space="preserve"> Status</t>
  </si>
  <si>
    <t>Supplier two</t>
  </si>
  <si>
    <t>Splash</t>
  </si>
  <si>
    <t>Go to Splash</t>
  </si>
  <si>
    <t>WORKSHEET</t>
  </si>
  <si>
    <t>ExpirationDate</t>
  </si>
  <si>
    <t>LicenseKey</t>
  </si>
  <si>
    <t xml:space="preserve"> RegistrationDate  </t>
  </si>
  <si>
    <t>LicenseType</t>
  </si>
  <si>
    <t>A1: Timestamp</t>
  </si>
  <si>
    <t>B1: LicenseKeyAttempt</t>
  </si>
  <si>
    <t>C1: EventType</t>
  </si>
  <si>
    <t>D1: Result</t>
  </si>
  <si>
    <t>E1: Details</t>
  </si>
  <si>
    <t>F1: ExpirationInfo</t>
  </si>
  <si>
    <t>CATEGORY</t>
  </si>
  <si>
    <t xml:space="preserve">FINANICAL STATEMENTS </t>
  </si>
  <si>
    <t>AI PROMPT AND RESPONSE</t>
  </si>
  <si>
    <t>POWER QUERY REPORTS</t>
  </si>
  <si>
    <t>LEAD SHEETS</t>
  </si>
  <si>
    <t>MASTER FILES</t>
  </si>
  <si>
    <t>TEMPLATES</t>
  </si>
  <si>
    <t>BOOKS OF ORGINAL ENTRY</t>
  </si>
  <si>
    <t>PT_TB</t>
  </si>
  <si>
    <t>PT_GL</t>
  </si>
  <si>
    <t>Fundraiser Coupon Payable</t>
  </si>
  <si>
    <t>2004</t>
  </si>
  <si>
    <t>2005</t>
  </si>
  <si>
    <t>2006</t>
  </si>
  <si>
    <t>1119 Bank Transfer Account Total</t>
  </si>
  <si>
    <t>2427 Cash Surrender of Life Insurance</t>
  </si>
  <si>
    <t>2427 Cash Surrender of Life Insurance Total</t>
  </si>
  <si>
    <t>Garbage Removal</t>
  </si>
  <si>
    <t>Glass Cleaning</t>
  </si>
  <si>
    <t>Pest Control</t>
  </si>
  <si>
    <t>2151 Fundraiser Coupon Payable</t>
  </si>
  <si>
    <t>2151 Fundraiser Coupon Payable Total</t>
  </si>
  <si>
    <t>6487 Glass Cleaning</t>
  </si>
  <si>
    <t>6495 Pest Control</t>
  </si>
  <si>
    <t>6497 Garbage Removal</t>
  </si>
  <si>
    <t>6487 Glass Cleaning Total</t>
  </si>
  <si>
    <t>6495 Pest Control Total</t>
  </si>
  <si>
    <t>6497 Garbage Removal Total</t>
  </si>
  <si>
    <t>4910 Equipment</t>
  </si>
  <si>
    <t>4910 Equipment Total</t>
  </si>
  <si>
    <t>O/S 
DEPOSIT
REF</t>
  </si>
  <si>
    <t>250401</t>
  </si>
  <si>
    <t>250301</t>
  </si>
  <si>
    <t>250501</t>
  </si>
  <si>
    <t>SECURITY
(The stock sybmbol must enterd manually than with that cell selected get the name by clicking Stocks on the Data Tab)</t>
  </si>
  <si>
    <t>Total Deposits</t>
  </si>
  <si>
    <t>Total Charges</t>
  </si>
  <si>
    <t>WAGE SUM JOURNAL</t>
  </si>
  <si>
    <t>WJ_SUM</t>
  </si>
  <si>
    <t>250499</t>
  </si>
  <si>
    <t>250502</t>
  </si>
  <si>
    <t>251299</t>
  </si>
  <si>
    <t>250901</t>
  </si>
  <si>
    <t>250904</t>
  </si>
  <si>
    <t>250905</t>
  </si>
  <si>
    <t>250801</t>
  </si>
  <si>
    <t>250503</t>
  </si>
  <si>
    <t>250903</t>
  </si>
  <si>
    <t>250902</t>
  </si>
  <si>
    <t>250701</t>
  </si>
  <si>
    <t>M-1000 Mastercard</t>
  </si>
  <si>
    <t>4912 Freight\Courier</t>
  </si>
  <si>
    <t>E-1000 EZ Ledgers Inc.</t>
  </si>
  <si>
    <t>TEMPLATE ROW</t>
  </si>
  <si>
    <t xml:space="preserve">TEMPLATE ROW </t>
  </si>
  <si>
    <t xml:space="preserve">PROOF </t>
  </si>
  <si>
    <t>H S T 
CODE</t>
  </si>
  <si>
    <t>Total Sales</t>
  </si>
  <si>
    <t xml:space="preserve">PY BALANCES </t>
  </si>
  <si>
    <t>2506199</t>
  </si>
  <si>
    <t>250505</t>
  </si>
  <si>
    <t>250506</t>
  </si>
  <si>
    <t>25016199</t>
  </si>
  <si>
    <t>2210 ITC Total</t>
  </si>
  <si>
    <t>250508</t>
  </si>
  <si>
    <t>4912 Freight\Courier Total</t>
  </si>
  <si>
    <t>250507</t>
  </si>
  <si>
    <t>250504</t>
  </si>
  <si>
    <t>250509</t>
  </si>
  <si>
    <t>TABLE OF CONTENTS</t>
  </si>
  <si>
    <t>Broker_mapping</t>
  </si>
  <si>
    <t>SALE OF FORF F150</t>
  </si>
  <si>
    <t>HST THEREON</t>
  </si>
  <si>
    <t>8900 Gain on disposition of assets</t>
  </si>
  <si>
    <t>sale of Ford</t>
  </si>
  <si>
    <t>to remove cost of auto sold</t>
  </si>
  <si>
    <t>To remove Ac Amort of asset sold</t>
  </si>
  <si>
    <t>to TFR NBV of asset sold</t>
  </si>
  <si>
    <t>8900 Gain on disposition of assets Total</t>
  </si>
  <si>
    <t>to adjust amortization</t>
  </si>
  <si>
    <t>2</t>
  </si>
  <si>
    <t>3</t>
  </si>
  <si>
    <t xml:space="preserve">ROUNDING </t>
  </si>
  <si>
    <t>Total Assets</t>
  </si>
  <si>
    <t>Total Liabilities</t>
  </si>
  <si>
    <t>Differences</t>
  </si>
  <si>
    <t>Adjustment</t>
  </si>
  <si>
    <t>5.5% Bank Term Loan due in monthly principal payments amounting to $9,200 plus interest. Secured by a debenture over  the assets on the company having a net book value   $71,071</t>
  </si>
  <si>
    <t>DD-25-10A</t>
  </si>
  <si>
    <t>No input</t>
  </si>
  <si>
    <t>Registration</t>
  </si>
  <si>
    <t>Failed</t>
  </si>
  <si>
    <t>No license key entered</t>
  </si>
  <si>
    <t>mFCwBh60</t>
  </si>
  <si>
    <t>Invalid type - 3rd char: C</t>
  </si>
  <si>
    <t>A5M33e9k</t>
  </si>
  <si>
    <t>Active</t>
  </si>
  <si>
    <t>Success</t>
  </si>
  <si>
    <t>Type: M, Days: 31</t>
  </si>
  <si>
    <t>Expires: 2025-11-28</t>
  </si>
  <si>
    <t xml:space="preserve">E Z LEDGERS INC. REGISTRATION </t>
  </si>
  <si>
    <t>Status</t>
  </si>
  <si>
    <t xml:space="preserve">Enter your registration key </t>
  </si>
  <si>
    <t>A5A33e9k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</si>
</sst>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9">
    <numFmt numFmtId="6" formatCode="&quot;$&quot;#,##0;[Red]\-&quot;$&quot;#,##0"/>
    <numFmt numFmtId="8" formatCode="&quot;$&quot;#,##0.00;[Red]\-&quot;$&quot;#,##0.00"/>
    <numFmt numFmtId="44" formatCode="_-&quot;$&quot;* #,##0.00_-;\-&quot;$&quot;* #,##0.00_-;_-&quot;$&quot;* &quot;-&quot;??_-;_-@_-"/>
    <numFmt numFmtId="43" formatCode="_-* #,##0.00_-;\-* #,##0.00_-;_-* &quot;-&quot;??_-;_-@_-"/>
    <numFmt numFmtId="164" formatCode="&quot;$&quot;#,##0_);[Red]\(&quot;$&quot;#,##0\)"/>
    <numFmt numFmtId="165" formatCode="&quot;$&quot;#,##0.00_);[Red]\(&quot;$&quot;#,##0.00\)"/>
    <numFmt numFmtId="166" formatCode="_(&quot;$&quot;* #,##0_);_(&quot;$&quot;* \(#,##0\);_(&quot;$&quot;* &quot;-&quot;_);_(@_)"/>
    <numFmt numFmtId="167" formatCode="_(* #,##0_);_(* \(#,##0\);_(* &quot;-&quot;_);_(@_)"/>
    <numFmt numFmtId="168" formatCode="_(&quot;$&quot;* #,##0.00_);_(&quot;$&quot;* \(#,##0.00\);_(&quot;$&quot;* &quot;-&quot;??_);_(@_)"/>
    <numFmt numFmtId="169" formatCode="_(* #,##0.00_);_(* \(#,##0.00\);_(* &quot;-&quot;??_);_(@_)"/>
    <numFmt numFmtId="170" formatCode="mmmm&quot; &quot;d&quot;, &quot;yyyy"/>
    <numFmt numFmtId="171" formatCode="#,##0;\(#,##0\)"/>
    <numFmt numFmtId="172" formatCode="&quot;$&quot;#,##0.00"/>
    <numFmt numFmtId="173" formatCode="d&quot;-&quot;mmm&quot;-&quot;yyyy"/>
    <numFmt numFmtId="174" formatCode="#,##0.00;\(#,##0.00\)"/>
    <numFmt numFmtId="175" formatCode="#,##0.000;\(#,##0.000\)"/>
    <numFmt numFmtId="176" formatCode="m/d/yyyy\ h:mm:ss"/>
    <numFmt numFmtId="177" formatCode="[$-F800]dddd\,\ mmmm\ dd\,\ yyyy"/>
    <numFmt numFmtId="178" formatCode="#,##0.00_ ;[Red]\-#,##0.00\ "/>
    <numFmt numFmtId="179" formatCode="0_ ;[Red]\-0\ "/>
    <numFmt numFmtId="180" formatCode="\$#,##0.00"/>
    <numFmt numFmtId="181" formatCode="d\-mmm\-yyyy"/>
    <numFmt numFmtId="182" formatCode="&quot;CA$&quot;#,##0.00"/>
    <numFmt numFmtId="183" formatCode="_-* #,##0.00_-;\-* #,##0.00_-;_-* &quot;-&quot;??_-;_-@"/>
    <numFmt numFmtId="184" formatCode="[$-1009]d/mmm/yy;@"/>
    <numFmt numFmtId="185" formatCode="#,##0.0000000000000_ ;[Red]\-#,##0.0000000000000\ "/>
    <numFmt numFmtId="186" formatCode="[$-409]mmmm\ d\,\ yyyy;@"/>
    <numFmt numFmtId="187" formatCode="#,##0.00_);[Red]\(#,##0.00\)"/>
    <numFmt numFmtId="188" formatCode="#,##0_);[Red]\(#,##0\)"/>
    <numFmt numFmtId="189" formatCode="#,##0_);\(#,##0\)"/>
    <numFmt numFmtId="190" formatCode="#,##0.00_);\(#,##0.00\)"/>
    <numFmt numFmtId="191" formatCode="0;[Red]0"/>
    <numFmt numFmtId="192" formatCode="mmmm\ d\,\ yyyy"/>
    <numFmt numFmtId="193" formatCode="_([$$-409]* #,##0.00_);_([$$-409]* \(#,##0.00\);_([$$-409]* &quot;-&quot;??_);_(@_)"/>
    <numFmt numFmtId="194" formatCode="&quot;$&quot;#,##0.00;[Red]&quot;$&quot;#,##0.00"/>
    <numFmt numFmtId="195" formatCode="#,##0_ ;[Red]\-#,##0\ "/>
    <numFmt numFmtId="196" formatCode="#,##0;[Red]#,##0"/>
    <numFmt numFmtId="197" formatCode="#,##0.00000000000_ ;[Red]\-#,##0.00000000000\ "/>
    <numFmt numFmtId="198" formatCode="_-[$$-1009]* #,##0.00_-;\-[$$-1009]* #,##0.00_-;_-[$$-1009]* &quot;-&quot;??_-;_-@_-"/>
  </numFmts>
  <fonts count="110">
    <font>
      <sz val="10"/>
      <color rgb="FF000000"/>
      <name val="Arial"/>
    </font>
    <font>
      <sz val="11"/>
      <color theme="1"/>
      <name val="Calibri"/>
      <family val="2"/>
      <scheme val="minor"/>
    </font>
    <font>
      <sz val="11"/>
      <color theme="1"/>
      <name val="Calibri"/>
      <family val="2"/>
      <scheme val="minor"/>
    </font>
    <font>
      <b/>
      <sz val="10"/>
      <name val="Arial"/>
      <family val="2"/>
    </font>
    <font>
      <sz val="10"/>
      <name val="Arial"/>
      <family val="2"/>
    </font>
    <font>
      <u/>
      <sz val="10"/>
      <color rgb="FF0000FF"/>
      <name val="Arial"/>
      <family val="2"/>
    </font>
    <font>
      <sz val="10"/>
      <color rgb="FF000000"/>
      <name val="Arial"/>
      <family val="2"/>
    </font>
    <font>
      <b/>
      <sz val="12"/>
      <name val="Arial"/>
      <family val="2"/>
    </font>
    <font>
      <b/>
      <sz val="10"/>
      <color rgb="FF000000"/>
      <name val="Arial"/>
      <family val="2"/>
    </font>
    <font>
      <sz val="9"/>
      <color rgb="FF000000"/>
      <name val="Arial"/>
      <family val="2"/>
    </font>
    <font>
      <sz val="9"/>
      <name val="Arial"/>
      <family val="2"/>
    </font>
    <font>
      <sz val="8"/>
      <name val="Arial"/>
      <family val="2"/>
    </font>
    <font>
      <b/>
      <sz val="9"/>
      <name val="Arial"/>
      <family val="2"/>
    </font>
    <font>
      <sz val="11"/>
      <color rgb="FF000000"/>
      <name val="Calibri"/>
      <family val="2"/>
    </font>
    <font>
      <b/>
      <sz val="11"/>
      <color rgb="FF000000"/>
      <name val="Arial"/>
      <family val="2"/>
    </font>
    <font>
      <b/>
      <sz val="9"/>
      <color rgb="FF0000FF"/>
      <name val="Arial"/>
      <family val="2"/>
    </font>
    <font>
      <sz val="8"/>
      <color rgb="FF000000"/>
      <name val="Arial"/>
      <family val="2"/>
    </font>
    <font>
      <b/>
      <sz val="9"/>
      <color rgb="FF000000"/>
      <name val="Arial"/>
      <family val="2"/>
    </font>
    <font>
      <sz val="10"/>
      <name val="Roboto"/>
    </font>
    <font>
      <b/>
      <sz val="20"/>
      <color rgb="FF6D64E8"/>
      <name val="Roboto"/>
    </font>
    <font>
      <sz val="12"/>
      <name val="Roboto"/>
    </font>
    <font>
      <b/>
      <sz val="12"/>
      <color rgb="FF000000"/>
      <name val="Roboto"/>
    </font>
    <font>
      <sz val="10"/>
      <color rgb="FF666666"/>
      <name val="Roboto"/>
    </font>
    <font>
      <b/>
      <sz val="12"/>
      <color rgb="FF434343"/>
      <name val="Roboto"/>
    </font>
    <font>
      <b/>
      <sz val="12"/>
      <color rgb="FF2A3990"/>
      <name val="Roboto"/>
    </font>
    <font>
      <sz val="10"/>
      <color rgb="FF999999"/>
      <name val="Roboto"/>
    </font>
    <font>
      <sz val="10"/>
      <color rgb="FF2A3990"/>
      <name val="Roboto"/>
    </font>
    <font>
      <sz val="10"/>
      <color rgb="FF434343"/>
      <name val="Roboto"/>
    </font>
    <font>
      <b/>
      <sz val="12"/>
      <name val="Roboto"/>
    </font>
    <font>
      <b/>
      <sz val="9"/>
      <color theme="0"/>
      <name val="Arial"/>
      <family val="2"/>
    </font>
    <font>
      <u/>
      <sz val="10"/>
      <color theme="10"/>
      <name val="Arial"/>
      <family val="2"/>
    </font>
    <font>
      <b/>
      <sz val="8"/>
      <color theme="0"/>
      <name val="Arial"/>
      <family val="2"/>
    </font>
    <font>
      <b/>
      <sz val="11"/>
      <color theme="0"/>
      <name val="Arial"/>
      <family val="2"/>
    </font>
    <font>
      <b/>
      <sz val="10"/>
      <color theme="0"/>
      <name val="Arial"/>
      <family val="2"/>
    </font>
    <font>
      <sz val="10"/>
      <color theme="0"/>
      <name val="Arial"/>
      <family val="2"/>
    </font>
    <font>
      <sz val="9"/>
      <color rgb="FF333333"/>
      <name val="Verdana"/>
      <family val="2"/>
    </font>
    <font>
      <sz val="10"/>
      <color theme="1"/>
      <name val="Arial"/>
      <family val="2"/>
    </font>
    <font>
      <sz val="11"/>
      <color theme="0"/>
      <name val="Arial"/>
      <family val="2"/>
    </font>
    <font>
      <sz val="10"/>
      <color rgb="FFFFC000"/>
      <name val="Arial"/>
      <family val="2"/>
    </font>
    <font>
      <b/>
      <sz val="34"/>
      <color theme="4"/>
      <name val="Roboto"/>
    </font>
    <font>
      <sz val="10"/>
      <color theme="4"/>
      <name val="Arial"/>
      <family val="2"/>
    </font>
    <font>
      <b/>
      <sz val="20"/>
      <color theme="4"/>
      <name val="Roboto"/>
    </font>
    <font>
      <sz val="10"/>
      <color theme="4"/>
      <name val="Roboto"/>
    </font>
    <font>
      <sz val="11"/>
      <color rgb="FF111827"/>
      <name val="Courier New"/>
      <family val="3"/>
    </font>
    <font>
      <sz val="12"/>
      <color rgb="FF333333"/>
      <name val="Arial"/>
      <family val="2"/>
    </font>
    <font>
      <sz val="8"/>
      <name val="Arial"/>
      <family val="2"/>
    </font>
    <font>
      <u/>
      <sz val="10"/>
      <color indexed="39"/>
      <name val="Arial"/>
      <family val="2"/>
    </font>
    <font>
      <b/>
      <sz val="9"/>
      <color indexed="8"/>
      <name val="Arial"/>
      <family val="2"/>
    </font>
    <font>
      <b/>
      <sz val="11"/>
      <color indexed="8"/>
      <name val="Arial"/>
      <family val="2"/>
    </font>
    <font>
      <sz val="10"/>
      <color rgb="FF000000"/>
      <name val="Arial"/>
      <family val="2"/>
    </font>
    <font>
      <sz val="8"/>
      <name val="Arial"/>
      <family val="2"/>
    </font>
    <font>
      <sz val="10"/>
      <color rgb="FF000000"/>
      <name val="Arial"/>
      <family val="2"/>
    </font>
    <font>
      <sz val="10"/>
      <color rgb="FF000000"/>
      <name val="Arial"/>
      <family val="2"/>
    </font>
    <font>
      <b/>
      <sz val="8"/>
      <color rgb="FF000000"/>
      <name val="Arial"/>
      <family val="2"/>
    </font>
    <font>
      <sz val="10"/>
      <color rgb="FF000000"/>
      <name val="Arial"/>
      <family val="2"/>
    </font>
    <font>
      <sz val="8"/>
      <name val="Arial"/>
      <family val="2"/>
    </font>
    <font>
      <sz val="9"/>
      <color theme="1"/>
      <name val="Arial"/>
      <family val="2"/>
    </font>
    <font>
      <b/>
      <sz val="9"/>
      <color theme="0"/>
      <name val="Arial Black"/>
      <family val="2"/>
    </font>
    <font>
      <sz val="9"/>
      <color theme="0"/>
      <name val="Arial"/>
      <family val="2"/>
    </font>
    <font>
      <sz val="10"/>
      <color rgb="FF000000"/>
      <name val="Calibri"/>
      <family val="2"/>
      <scheme val="minor"/>
    </font>
    <font>
      <sz val="9"/>
      <color rgb="FF3F3447"/>
      <name val="Arial"/>
      <family val="2"/>
    </font>
    <font>
      <sz val="10"/>
      <color rgb="FF000000"/>
      <name val="Arial"/>
      <family val="2"/>
    </font>
    <font>
      <sz val="9"/>
      <color rgb="FF000000"/>
      <name val="&quot;Microsoft JhengHei&quot;"/>
    </font>
    <font>
      <sz val="9"/>
      <name val="Microsoft JhengHei"/>
      <family val="2"/>
    </font>
    <font>
      <u/>
      <sz val="9"/>
      <color rgb="FF0000FF"/>
      <name val="Arial"/>
      <family val="2"/>
    </font>
    <font>
      <sz val="9"/>
      <color rgb="FFFF0000"/>
      <name val="Arial"/>
      <family val="2"/>
    </font>
    <font>
      <sz val="10"/>
      <color rgb="FF000000"/>
      <name val="Arial"/>
      <family val="2"/>
    </font>
    <font>
      <sz val="10"/>
      <color rgb="FF000000"/>
      <name val="Arial"/>
      <family val="2"/>
    </font>
    <font>
      <sz val="10"/>
      <color rgb="FF242424"/>
      <name val="Arial Unicode MS"/>
    </font>
    <font>
      <sz val="8"/>
      <name val="Arial"/>
      <family val="2"/>
    </font>
    <font>
      <sz val="10"/>
      <color rgb="FF000000"/>
      <name val="Arial"/>
      <family val="2"/>
    </font>
    <font>
      <b/>
      <sz val="9"/>
      <color rgb="FF00B0F0"/>
      <name val="Arial"/>
      <family val="2"/>
    </font>
    <font>
      <b/>
      <sz val="9"/>
      <color theme="4"/>
      <name val="Arial"/>
      <family val="2"/>
    </font>
    <font>
      <sz val="10"/>
      <color indexed="8"/>
      <name val="Arial"/>
      <family val="2"/>
    </font>
    <font>
      <b/>
      <sz val="10"/>
      <color indexed="8"/>
      <name val="Arial"/>
      <family val="2"/>
    </font>
    <font>
      <b/>
      <sz val="10"/>
      <color theme="4"/>
      <name val="Arial"/>
      <family val="2"/>
    </font>
    <font>
      <b/>
      <sz val="10"/>
      <color rgb="FF0070C0"/>
      <name val="Arial"/>
      <family val="2"/>
    </font>
    <font>
      <sz val="10"/>
      <color rgb="FF000000"/>
      <name val="Arial"/>
      <family val="2"/>
    </font>
    <font>
      <b/>
      <sz val="14"/>
      <name val="Arial"/>
      <family val="2"/>
    </font>
    <font>
      <b/>
      <i/>
      <sz val="8"/>
      <color rgb="FF000000"/>
      <name val="Arial"/>
      <family val="2"/>
    </font>
    <font>
      <i/>
      <sz val="8"/>
      <color rgb="FF000000"/>
      <name val="Arial"/>
      <family val="2"/>
    </font>
    <font>
      <b/>
      <i/>
      <sz val="8"/>
      <name val="Arial"/>
      <family val="2"/>
    </font>
    <font>
      <b/>
      <sz val="8"/>
      <name val="Arial"/>
      <family val="2"/>
    </font>
    <font>
      <sz val="10"/>
      <color theme="1"/>
      <name val="Arial"/>
      <family val="2"/>
    </font>
    <font>
      <sz val="10"/>
      <color rgb="FF000000"/>
      <name val="Arial"/>
      <family val="2"/>
    </font>
    <font>
      <sz val="10"/>
      <name val="Arial"/>
      <family val="2"/>
    </font>
    <font>
      <b/>
      <sz val="11"/>
      <color theme="1"/>
      <name val="Calibri"/>
      <family val="2"/>
      <scheme val="minor"/>
    </font>
    <font>
      <b/>
      <sz val="12"/>
      <color rgb="FF000000"/>
      <name val="Arial"/>
      <family val="2"/>
    </font>
    <font>
      <b/>
      <sz val="12"/>
      <color rgb="FF666666"/>
      <name val="Roboto"/>
    </font>
    <font>
      <b/>
      <sz val="12"/>
      <color theme="1"/>
      <name val="Calibri"/>
      <family val="2"/>
      <scheme val="minor"/>
    </font>
    <font>
      <b/>
      <sz val="12"/>
      <color theme="1"/>
      <name val="Arial"/>
      <family val="2"/>
    </font>
    <font>
      <sz val="10"/>
      <color theme="1"/>
      <name val="Arial"/>
      <family val="2"/>
    </font>
    <font>
      <sz val="10"/>
      <color theme="10"/>
      <name val="Arial"/>
      <family val="2"/>
    </font>
    <font>
      <sz val="11"/>
      <color rgb="FF3F3447"/>
      <name val="Arial"/>
      <family val="2"/>
    </font>
    <font>
      <b/>
      <sz val="12"/>
      <color theme="0"/>
      <name val="Arial"/>
      <family val="2"/>
    </font>
    <font>
      <u/>
      <sz val="9"/>
      <color rgb="FF000000"/>
      <name val="Arial"/>
      <family val="2"/>
    </font>
    <font>
      <u/>
      <sz val="9"/>
      <color theme="10"/>
      <name val="Arial"/>
      <family val="2"/>
    </font>
    <font>
      <sz val="10"/>
      <color rgb="FF404040"/>
      <name val="Segoe UI"/>
      <family val="2"/>
    </font>
    <font>
      <sz val="8"/>
      <name val="Arial"/>
      <family val="2"/>
    </font>
    <font>
      <sz val="10"/>
      <color rgb="FF000000"/>
      <name val="Arial"/>
      <family val="2"/>
    </font>
    <font>
      <b/>
      <sz val="9"/>
      <color rgb="FF000000"/>
      <name val="Arial Black"/>
      <family val="2"/>
    </font>
    <font>
      <sz val="9"/>
      <name val="Arial Black"/>
      <family val="2"/>
    </font>
    <font>
      <sz val="9"/>
      <color rgb="FF000000"/>
      <name val="Arial Black"/>
      <family val="2"/>
    </font>
    <font>
      <b/>
      <sz val="9"/>
      <color rgb="FF3F3447"/>
      <name val="Arial"/>
      <family val="2"/>
    </font>
    <font>
      <sz val="30"/>
      <color rgb="FF111111"/>
      <name val="Arial"/>
      <family val="2"/>
    </font>
    <font>
      <b/>
      <sz val="18"/>
      <color rgb="FF000000"/>
      <name val="Arial"/>
      <family val="2"/>
    </font>
    <font>
      <b/>
      <sz val="13.5"/>
      <color rgb="FF000000"/>
      <name val="Arial"/>
      <family val="2"/>
    </font>
    <font>
      <b/>
      <sz val="10"/>
      <color theme="1"/>
      <name val="Arial"/>
      <family val="2"/>
    </font>
    <font>
      <b/>
      <sz val="11"/>
      <color theme="1"/>
      <name val="Arial"/>
      <family val="2"/>
    </font>
    <font>
      <sz val="8"/>
      <color theme="0"/>
      <name val="Arial"/>
      <family val="2"/>
    </font>
  </fonts>
  <fills count="25">
    <fill>
      <patternFill patternType="none"/>
    </fill>
    <fill>
      <patternFill patternType="gray125"/>
    </fill>
    <fill>
      <patternFill patternType="solid">
        <fgColor rgb="FFFFFFFF"/>
        <bgColor rgb="FFFFFFFF"/>
      </patternFill>
    </fill>
    <fill>
      <patternFill patternType="solid">
        <fgColor rgb="FFB7B7B7"/>
        <bgColor rgb="FFB7B7B7"/>
      </patternFill>
    </fill>
    <fill>
      <patternFill patternType="solid">
        <fgColor theme="4"/>
        <bgColor theme="4"/>
      </patternFill>
    </fill>
    <fill>
      <patternFill patternType="solid">
        <fgColor theme="4" tint="0.79998168889431442"/>
        <bgColor theme="4" tint="0.79998168889431442"/>
      </patternFill>
    </fill>
    <fill>
      <patternFill patternType="solid">
        <fgColor theme="0"/>
        <bgColor indexed="64"/>
      </patternFill>
    </fill>
    <fill>
      <patternFill patternType="solid">
        <fgColor rgb="FFFFC000"/>
        <bgColor rgb="FFE69138"/>
      </patternFill>
    </fill>
    <fill>
      <patternFill patternType="solid">
        <fgColor rgb="FF0070C0"/>
        <bgColor indexed="64"/>
      </patternFill>
    </fill>
    <fill>
      <patternFill patternType="solid">
        <fgColor rgb="FFEEEEEE"/>
        <bgColor rgb="FFEEEEEE"/>
      </patternFill>
    </fill>
    <fill>
      <patternFill patternType="solid">
        <fgColor rgb="FFC0C0C0"/>
        <bgColor rgb="FFC0C0C0"/>
      </patternFill>
    </fill>
    <fill>
      <patternFill patternType="solid">
        <fgColor rgb="FFEFF0F1"/>
        <bgColor rgb="FFEEEEEE"/>
      </patternFill>
    </fill>
    <fill>
      <patternFill patternType="solid">
        <fgColor theme="4"/>
        <bgColor indexed="64"/>
      </patternFill>
    </fill>
    <fill>
      <patternFill patternType="solid">
        <fgColor theme="4"/>
        <bgColor rgb="FFC0C0C0"/>
      </patternFill>
    </fill>
    <fill>
      <patternFill patternType="solid">
        <fgColor theme="4" tint="0.79998168889431442"/>
        <bgColor indexed="64"/>
      </patternFill>
    </fill>
    <fill>
      <patternFill patternType="solid">
        <fgColor theme="4" tint="0.79998168889431442"/>
        <bgColor rgb="FFEFF0F1"/>
      </patternFill>
    </fill>
    <fill>
      <patternFill patternType="solid">
        <fgColor rgb="FF92D050"/>
        <bgColor indexed="64"/>
      </patternFill>
    </fill>
    <fill>
      <patternFill patternType="solid">
        <fgColor theme="5" tint="0.39997558519241921"/>
        <bgColor indexed="64"/>
      </patternFill>
    </fill>
    <fill>
      <patternFill patternType="solid">
        <fgColor rgb="FF00B050"/>
        <bgColor indexed="64"/>
      </patternFill>
    </fill>
    <fill>
      <patternFill patternType="solid">
        <fgColor theme="5"/>
        <bgColor indexed="64"/>
      </patternFill>
    </fill>
    <fill>
      <patternFill patternType="solid">
        <fgColor rgb="FFFFFF00"/>
        <bgColor indexed="64"/>
      </patternFill>
    </fill>
    <fill>
      <patternFill patternType="solid">
        <fgColor rgb="FF00B0F0"/>
        <bgColor indexed="64"/>
      </patternFill>
    </fill>
    <fill>
      <patternFill patternType="solid">
        <fgColor theme="2"/>
        <bgColor indexed="64"/>
      </patternFill>
    </fill>
    <fill>
      <patternFill patternType="solid">
        <fgColor theme="4"/>
        <bgColor theme="4" tint="0.79998168889431442"/>
      </patternFill>
    </fill>
    <fill>
      <patternFill patternType="solid">
        <fgColor theme="2"/>
        <bgColor theme="4" tint="0.79998168889431442"/>
      </patternFill>
    </fill>
  </fills>
  <borders count="67">
    <border>
      <left/>
      <right/>
      <top/>
      <bottom/>
      <diagonal/>
    </border>
    <border>
      <left/>
      <right/>
      <top style="thin">
        <color rgb="FF000000"/>
      </top>
      <bottom style="thin">
        <color rgb="FF000000"/>
      </bottom>
      <diagonal/>
    </border>
    <border>
      <left/>
      <right/>
      <top style="thin">
        <color rgb="FF000000"/>
      </top>
      <bottom/>
      <diagonal/>
    </border>
    <border>
      <left/>
      <right/>
      <top style="thin">
        <color rgb="FF000000"/>
      </top>
      <bottom style="double">
        <color rgb="FF000000"/>
      </bottom>
      <diagonal/>
    </border>
    <border>
      <left/>
      <right/>
      <top/>
      <bottom style="double">
        <color rgb="FF000000"/>
      </bottom>
      <diagonal/>
    </border>
    <border>
      <left/>
      <right/>
      <top/>
      <bottom/>
      <diagonal/>
    </border>
    <border>
      <left/>
      <right/>
      <top/>
      <bottom style="thin">
        <color rgb="FF000000"/>
      </bottom>
      <diagonal/>
    </border>
    <border>
      <left/>
      <right/>
      <top/>
      <bottom style="thin">
        <color rgb="FFB7B7B7"/>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theme="4" tint="0.39997558519241921"/>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top/>
      <bottom style="thin">
        <color indexed="64"/>
      </bottom>
      <diagonal/>
    </border>
    <border>
      <left/>
      <right/>
      <top style="thin">
        <color indexed="64"/>
      </top>
      <bottom style="double">
        <color indexed="64"/>
      </bottom>
      <diagonal/>
    </border>
    <border>
      <left/>
      <right/>
      <top/>
      <bottom style="medium">
        <color indexed="64"/>
      </bottom>
      <diagonal/>
    </border>
    <border>
      <left style="thin">
        <color theme="4" tint="0.39997558519241921"/>
      </left>
      <right/>
      <top/>
      <bottom style="thin">
        <color theme="4" tint="0.39997558519241921"/>
      </bottom>
      <diagonal/>
    </border>
    <border>
      <left/>
      <right/>
      <top/>
      <bottom style="thin">
        <color theme="4" tint="0.39997558519241921"/>
      </bottom>
      <diagonal/>
    </border>
    <border>
      <left/>
      <right/>
      <top style="thin">
        <color theme="4" tint="0.39997558519241921"/>
      </top>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style="medium">
        <color rgb="FFCCCCCC"/>
      </left>
      <right/>
      <top style="medium">
        <color rgb="FFCCCCCC"/>
      </top>
      <bottom/>
      <diagonal/>
    </border>
    <border>
      <left/>
      <right/>
      <top style="thin">
        <color indexed="64"/>
      </top>
      <bottom/>
      <diagonal/>
    </border>
    <border>
      <left/>
      <right/>
      <top style="thin">
        <color indexed="64"/>
      </top>
      <bottom style="thin">
        <color indexed="64"/>
      </bottom>
      <diagonal/>
    </border>
    <border>
      <left/>
      <right/>
      <top/>
      <bottom style="double">
        <color indexed="64"/>
      </bottom>
      <diagonal/>
    </border>
    <border>
      <left/>
      <right/>
      <top style="thick">
        <color indexed="64"/>
      </top>
      <bottom/>
      <diagonal/>
    </border>
    <border>
      <left/>
      <right/>
      <top/>
      <bottom style="thick">
        <color auto="1"/>
      </bottom>
      <diagonal/>
    </border>
    <border>
      <left/>
      <right/>
      <top style="medium">
        <color indexed="64"/>
      </top>
      <bottom/>
      <diagonal/>
    </border>
    <border>
      <left/>
      <right/>
      <top style="thin">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right/>
      <top style="thin">
        <color indexed="64"/>
      </top>
      <bottom style="thick">
        <color auto="1"/>
      </bottom>
      <diagonal/>
    </border>
    <border>
      <left/>
      <right/>
      <top style="thin">
        <color theme="9" tint="0.39997558519241921"/>
      </top>
      <bottom style="thin">
        <color theme="9" tint="0.39997558519241921"/>
      </bottom>
      <diagonal/>
    </border>
    <border>
      <left/>
      <right style="thin">
        <color theme="9" tint="0.39997558519241921"/>
      </right>
      <top style="thin">
        <color theme="9" tint="0.39997558519241921"/>
      </top>
      <bottom style="thin">
        <color theme="9" tint="0.39997558519241921"/>
      </bottom>
      <diagonal/>
    </border>
    <border>
      <left/>
      <right/>
      <top style="thin">
        <color rgb="FF000000"/>
      </top>
      <bottom style="thick">
        <color auto="1"/>
      </bottom>
      <diagonal/>
    </border>
    <border>
      <left style="thick">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style="thin">
        <color rgb="FF000000"/>
      </bottom>
      <diagonal/>
    </border>
    <border>
      <left style="thick">
        <color indexed="64"/>
      </left>
      <right/>
      <top/>
      <bottom style="thin">
        <color rgb="FF000000"/>
      </bottom>
      <diagonal/>
    </border>
    <border>
      <left/>
      <right style="thick">
        <color indexed="64"/>
      </right>
      <top/>
      <bottom/>
      <diagonal/>
    </border>
    <border>
      <left/>
      <right style="thick">
        <color indexed="64"/>
      </right>
      <top style="thin">
        <color theme="4" tint="0.39997558519241921"/>
      </top>
      <bottom style="thin">
        <color theme="4" tint="0.39997558519241921"/>
      </bottom>
      <diagonal/>
    </border>
    <border>
      <left/>
      <right style="thick">
        <color indexed="64"/>
      </right>
      <top/>
      <bottom style="thin">
        <color theme="4" tint="0.39997558519241921"/>
      </bottom>
      <diagonal/>
    </border>
    <border>
      <left style="thick">
        <color indexed="64"/>
      </left>
      <right/>
      <top/>
      <bottom style="thick">
        <color indexed="64"/>
      </bottom>
      <diagonal/>
    </border>
    <border>
      <left/>
      <right style="thick">
        <color indexed="64"/>
      </right>
      <top/>
      <bottom style="thick">
        <color indexed="64"/>
      </bottom>
      <diagonal/>
    </border>
    <border>
      <left/>
      <right style="thick">
        <color indexed="64"/>
      </right>
      <top style="thin">
        <color theme="4" tint="0.39997558519241921"/>
      </top>
      <bottom style="thick">
        <color rgb="FF002060"/>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bottom/>
      <diagonal/>
    </border>
    <border>
      <left/>
      <right/>
      <top style="thin">
        <color theme="4" tint="0.39997558519241921"/>
      </top>
      <bottom style="double">
        <color indexed="64"/>
      </bottom>
      <diagonal/>
    </border>
    <border>
      <left style="thin">
        <color rgb="FF000000"/>
      </left>
      <right/>
      <top/>
      <bottom style="thick">
        <color rgb="FF000000"/>
      </bottom>
      <diagonal/>
    </border>
    <border>
      <left/>
      <right/>
      <top/>
      <bottom style="thick">
        <color rgb="FF000000"/>
      </bottom>
      <diagonal/>
    </border>
    <border>
      <left/>
      <right/>
      <top style="thin">
        <color theme="4" tint="0.39997558519241921"/>
      </top>
      <bottom style="thick">
        <color rgb="FF000000"/>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theme="4" tint="0.39997558519241921"/>
      </top>
      <bottom style="thick">
        <color auto="1"/>
      </bottom>
      <diagonal/>
    </border>
    <border>
      <left/>
      <right style="thick">
        <color indexed="64"/>
      </right>
      <top style="thin">
        <color theme="4" tint="0.39997558519241921"/>
      </top>
      <bottom style="thick">
        <color indexed="64"/>
      </bottom>
      <diagonal/>
    </border>
    <border>
      <left/>
      <right style="thin">
        <color indexed="64"/>
      </right>
      <top style="thin">
        <color indexed="64"/>
      </top>
      <bottom style="double">
        <color indexed="64"/>
      </bottom>
      <diagonal/>
    </border>
    <border>
      <left/>
      <right style="thin">
        <color indexed="64"/>
      </right>
      <top/>
      <bottom style="double">
        <color indexed="64"/>
      </bottom>
      <diagonal/>
    </border>
    <border>
      <left style="medium">
        <color indexed="64"/>
      </left>
      <right style="medium">
        <color indexed="64"/>
      </right>
      <top style="medium">
        <color indexed="64"/>
      </top>
      <bottom style="medium">
        <color indexed="64"/>
      </bottom>
      <diagonal/>
    </border>
  </borders>
  <cellStyleXfs count="48">
    <xf numFmtId="0" fontId="0" fillId="0" borderId="0"/>
    <xf numFmtId="0" fontId="30" fillId="0" borderId="0" applyNumberFormat="0" applyFill="0" applyBorder="0" applyAlignment="0" applyProtection="0"/>
    <xf numFmtId="0" fontId="6" fillId="0" borderId="5"/>
    <xf numFmtId="0" fontId="46" fillId="0" borderId="5" applyNumberFormat="0" applyFill="0" applyBorder="0" applyAlignment="0" applyProtection="0">
      <alignment vertical="top"/>
      <protection locked="0"/>
    </xf>
    <xf numFmtId="0" fontId="4" fillId="0" borderId="5">
      <alignment vertical="center"/>
    </xf>
    <xf numFmtId="40" fontId="11" fillId="0" borderId="5" applyFill="0" applyBorder="0" applyAlignment="0" applyProtection="0"/>
    <xf numFmtId="0" fontId="47" fillId="0" borderId="5"/>
    <xf numFmtId="0" fontId="48" fillId="0" borderId="5"/>
    <xf numFmtId="0" fontId="4" fillId="0" borderId="5"/>
    <xf numFmtId="43" fontId="49" fillId="0" borderId="0" applyFont="0" applyFill="0" applyBorder="0" applyAlignment="0" applyProtection="0"/>
    <xf numFmtId="0" fontId="51" fillId="0" borderId="5"/>
    <xf numFmtId="0" fontId="52" fillId="0" borderId="5"/>
    <xf numFmtId="9" fontId="54" fillId="0" borderId="0" applyFont="0" applyFill="0" applyBorder="0" applyAlignment="0" applyProtection="0"/>
    <xf numFmtId="0" fontId="6" fillId="0" borderId="5"/>
    <xf numFmtId="43" fontId="6" fillId="0" borderId="5" applyFont="0" applyFill="0" applyBorder="0" applyAlignment="0" applyProtection="0"/>
    <xf numFmtId="44" fontId="6" fillId="0" borderId="5" applyFont="0" applyFill="0" applyBorder="0" applyAlignment="0" applyProtection="0"/>
    <xf numFmtId="0" fontId="30" fillId="0" borderId="5" applyNumberFormat="0" applyFill="0" applyBorder="0" applyAlignment="0" applyProtection="0"/>
    <xf numFmtId="0" fontId="59" fillId="0" borderId="5"/>
    <xf numFmtId="9" fontId="6" fillId="0" borderId="5" applyFont="0" applyFill="0" applyBorder="0" applyAlignment="0" applyProtection="0"/>
    <xf numFmtId="0" fontId="61" fillId="0" borderId="5"/>
    <xf numFmtId="0" fontId="66" fillId="0" borderId="5"/>
    <xf numFmtId="44" fontId="67" fillId="0" borderId="0" applyFont="0" applyFill="0" applyBorder="0" applyAlignment="0" applyProtection="0"/>
    <xf numFmtId="0" fontId="6" fillId="0" borderId="5"/>
    <xf numFmtId="0" fontId="6" fillId="0" borderId="5"/>
    <xf numFmtId="0" fontId="6" fillId="0" borderId="5"/>
    <xf numFmtId="0" fontId="70" fillId="0" borderId="5"/>
    <xf numFmtId="43" fontId="70" fillId="0" borderId="5" applyFont="0" applyFill="0" applyBorder="0" applyAlignment="0" applyProtection="0"/>
    <xf numFmtId="43" fontId="4" fillId="0" borderId="5" applyFont="0" applyFill="0" applyBorder="0" applyAlignment="0" applyProtection="0"/>
    <xf numFmtId="0" fontId="6" fillId="0" borderId="5"/>
    <xf numFmtId="0" fontId="47" fillId="0" borderId="5"/>
    <xf numFmtId="0" fontId="59" fillId="0" borderId="5"/>
    <xf numFmtId="0" fontId="77" fillId="0" borderId="5"/>
    <xf numFmtId="43" fontId="2" fillId="0" borderId="5" applyFont="0" applyFill="0" applyBorder="0" applyAlignment="0" applyProtection="0"/>
    <xf numFmtId="0" fontId="2" fillId="0" borderId="5"/>
    <xf numFmtId="44" fontId="2" fillId="0" borderId="5" applyFont="0" applyFill="0" applyBorder="0" applyAlignment="0" applyProtection="0"/>
    <xf numFmtId="169" fontId="4" fillId="0" borderId="5" applyFont="0" applyFill="0" applyBorder="0" applyAlignment="0" applyProtection="0"/>
    <xf numFmtId="0" fontId="4" fillId="0" borderId="5"/>
    <xf numFmtId="169" fontId="4" fillId="0" borderId="5" applyFont="0" applyFill="0" applyBorder="0" applyAlignment="0" applyProtection="0"/>
    <xf numFmtId="43" fontId="84" fillId="0" borderId="5" applyFont="0" applyFill="0" applyBorder="0" applyAlignment="0" applyProtection="0"/>
    <xf numFmtId="0" fontId="84" fillId="0" borderId="5"/>
    <xf numFmtId="0" fontId="6" fillId="0" borderId="5"/>
    <xf numFmtId="0" fontId="6" fillId="0" borderId="5"/>
    <xf numFmtId="43" fontId="1" fillId="0" borderId="5" applyFont="0" applyFill="0" applyBorder="0" applyAlignment="0" applyProtection="0"/>
    <xf numFmtId="0" fontId="1" fillId="0" borderId="5"/>
    <xf numFmtId="0" fontId="84" fillId="0" borderId="5"/>
    <xf numFmtId="0" fontId="6" fillId="0" borderId="5"/>
    <xf numFmtId="0" fontId="99" fillId="0" borderId="5"/>
    <xf numFmtId="43" fontId="99" fillId="0" borderId="5" applyFont="0" applyFill="0" applyBorder="0" applyAlignment="0" applyProtection="0"/>
  </cellStyleXfs>
  <cellXfs count="1342">
    <xf numFmtId="0" fontId="0" fillId="0" borderId="0" xfId="0"/>
    <xf numFmtId="0" fontId="4" fillId="0" borderId="0" xfId="0" applyFont="1"/>
    <xf numFmtId="0" fontId="4" fillId="0" borderId="0" xfId="0" applyFont="1" applyAlignment="1">
      <alignment horizontal="center"/>
    </xf>
    <xf numFmtId="0" fontId="6" fillId="0" borderId="0" xfId="0" applyFont="1"/>
    <xf numFmtId="0" fontId="8" fillId="0" borderId="0" xfId="0" applyFont="1" applyAlignment="1">
      <alignment horizontal="center"/>
    </xf>
    <xf numFmtId="38" fontId="4" fillId="0" borderId="0" xfId="0" applyNumberFormat="1" applyFont="1"/>
    <xf numFmtId="0" fontId="4" fillId="0" borderId="0" xfId="0" applyFont="1" applyAlignment="1">
      <alignment horizontal="right"/>
    </xf>
    <xf numFmtId="172" fontId="4" fillId="0" borderId="0" xfId="0" applyNumberFormat="1" applyFont="1"/>
    <xf numFmtId="174" fontId="4" fillId="0" borderId="0" xfId="0" applyNumberFormat="1" applyFont="1"/>
    <xf numFmtId="173" fontId="4" fillId="0" borderId="0" xfId="0" applyNumberFormat="1" applyFont="1"/>
    <xf numFmtId="4" fontId="13" fillId="0" borderId="0" xfId="0" applyNumberFormat="1" applyFont="1"/>
    <xf numFmtId="38" fontId="13" fillId="0" borderId="0" xfId="0" applyNumberFormat="1" applyFont="1" applyAlignment="1">
      <alignment horizontal="left"/>
    </xf>
    <xf numFmtId="14" fontId="13" fillId="0" borderId="0" xfId="0" applyNumberFormat="1" applyFont="1" applyAlignment="1">
      <alignment horizontal="left"/>
    </xf>
    <xf numFmtId="0" fontId="13" fillId="0" borderId="0" xfId="0" applyFont="1"/>
    <xf numFmtId="174" fontId="13" fillId="0" borderId="0" xfId="0" applyNumberFormat="1" applyFont="1"/>
    <xf numFmtId="0" fontId="13" fillId="0" borderId="0" xfId="0" applyFont="1" applyAlignment="1">
      <alignment horizontal="right"/>
    </xf>
    <xf numFmtId="2" fontId="4" fillId="0" borderId="0" xfId="0" applyNumberFormat="1" applyFont="1"/>
    <xf numFmtId="0" fontId="11" fillId="0" borderId="0" xfId="0" applyFont="1" applyAlignment="1">
      <alignment horizontal="right"/>
    </xf>
    <xf numFmtId="173" fontId="8" fillId="0" borderId="0" xfId="0" applyNumberFormat="1" applyFont="1" applyAlignment="1">
      <alignment horizontal="center"/>
    </xf>
    <xf numFmtId="49" fontId="15" fillId="0" borderId="0" xfId="0" applyNumberFormat="1" applyFont="1"/>
    <xf numFmtId="40" fontId="11" fillId="0" borderId="4" xfId="0" applyNumberFormat="1" applyFont="1" applyBorder="1" applyAlignment="1">
      <alignment horizontal="right"/>
    </xf>
    <xf numFmtId="169" fontId="11" fillId="0" borderId="0" xfId="0" applyNumberFormat="1" applyFont="1" applyAlignment="1">
      <alignment horizontal="center"/>
    </xf>
    <xf numFmtId="40" fontId="0" fillId="0" borderId="0" xfId="0" applyNumberFormat="1"/>
    <xf numFmtId="40" fontId="4" fillId="0" borderId="0" xfId="0" applyNumberFormat="1" applyFont="1"/>
    <xf numFmtId="0" fontId="18" fillId="0" borderId="0" xfId="0" applyFont="1"/>
    <xf numFmtId="0" fontId="19" fillId="0" borderId="0" xfId="0" applyFont="1"/>
    <xf numFmtId="0" fontId="20" fillId="0" borderId="0" xfId="0" applyFont="1"/>
    <xf numFmtId="0" fontId="22" fillId="0" borderId="0" xfId="0" applyFont="1"/>
    <xf numFmtId="0" fontId="23" fillId="0" borderId="0" xfId="0" applyFont="1"/>
    <xf numFmtId="0" fontId="24" fillId="0" borderId="0" xfId="0" applyFont="1" applyAlignment="1">
      <alignment horizontal="right"/>
    </xf>
    <xf numFmtId="168" fontId="21" fillId="3" borderId="0" xfId="0" applyNumberFormat="1" applyFont="1" applyFill="1" applyAlignment="1">
      <alignment wrapText="1"/>
    </xf>
    <xf numFmtId="0" fontId="3" fillId="0" borderId="0" xfId="0" applyFont="1"/>
    <xf numFmtId="172" fontId="22" fillId="3" borderId="0" xfId="0" applyNumberFormat="1" applyFont="1" applyFill="1"/>
    <xf numFmtId="0" fontId="26" fillId="0" borderId="0" xfId="0" applyFont="1" applyAlignment="1">
      <alignment horizontal="right"/>
    </xf>
    <xf numFmtId="172" fontId="21" fillId="3" borderId="2" xfId="0" applyNumberFormat="1" applyFont="1" applyFill="1" applyBorder="1" applyAlignment="1">
      <alignment horizontal="right"/>
    </xf>
    <xf numFmtId="172" fontId="28" fillId="3" borderId="4" xfId="0" applyNumberFormat="1" applyFont="1" applyFill="1" applyBorder="1" applyAlignment="1">
      <alignment horizontal="right"/>
    </xf>
    <xf numFmtId="170" fontId="21" fillId="0" borderId="0" xfId="0" applyNumberFormat="1" applyFont="1" applyAlignment="1">
      <alignment horizontal="left"/>
    </xf>
    <xf numFmtId="177" fontId="0" fillId="0" borderId="0" xfId="0" applyNumberFormat="1"/>
    <xf numFmtId="0" fontId="29" fillId="4" borderId="12" xfId="0" applyFont="1" applyFill="1" applyBorder="1"/>
    <xf numFmtId="0" fontId="29" fillId="4" borderId="11" xfId="0" applyFont="1" applyFill="1" applyBorder="1"/>
    <xf numFmtId="43" fontId="0" fillId="0" borderId="0" xfId="0" applyNumberFormat="1"/>
    <xf numFmtId="0" fontId="0" fillId="0" borderId="0" xfId="0" applyAlignment="1">
      <alignment horizontal="left"/>
    </xf>
    <xf numFmtId="38" fontId="0" fillId="0" borderId="0" xfId="0" applyNumberFormat="1"/>
    <xf numFmtId="169" fontId="0" fillId="0" borderId="0" xfId="0" applyNumberFormat="1"/>
    <xf numFmtId="178" fontId="0" fillId="0" borderId="0" xfId="0" applyNumberFormat="1"/>
    <xf numFmtId="0" fontId="0" fillId="0" borderId="0" xfId="0" applyAlignment="1">
      <alignment horizontal="center"/>
    </xf>
    <xf numFmtId="1" fontId="8" fillId="0" borderId="0" xfId="0" applyNumberFormat="1" applyFont="1" applyAlignment="1">
      <alignment horizontal="center"/>
    </xf>
    <xf numFmtId="1" fontId="4" fillId="0" borderId="0" xfId="0" applyNumberFormat="1" applyFont="1"/>
    <xf numFmtId="1" fontId="0" fillId="0" borderId="0" xfId="0" applyNumberFormat="1"/>
    <xf numFmtId="178" fontId="4" fillId="0" borderId="0" xfId="0" applyNumberFormat="1" applyFont="1" applyAlignment="1">
      <alignment horizontal="right"/>
    </xf>
    <xf numFmtId="178" fontId="8" fillId="0" borderId="0" xfId="0" applyNumberFormat="1" applyFont="1" applyAlignment="1">
      <alignment horizontal="center"/>
    </xf>
    <xf numFmtId="0" fontId="9" fillId="0" borderId="0" xfId="0" applyFont="1"/>
    <xf numFmtId="40" fontId="6" fillId="0" borderId="0" xfId="0" applyNumberFormat="1" applyFont="1"/>
    <xf numFmtId="0" fontId="0" fillId="0" borderId="5" xfId="0" applyBorder="1"/>
    <xf numFmtId="0" fontId="4" fillId="0" borderId="5" xfId="0" applyFont="1" applyBorder="1"/>
    <xf numFmtId="172" fontId="4" fillId="0" borderId="5" xfId="0" applyNumberFormat="1" applyFont="1" applyBorder="1"/>
    <xf numFmtId="40" fontId="6" fillId="0" borderId="20" xfId="0" applyNumberFormat="1" applyFont="1" applyBorder="1" applyAlignment="1">
      <alignment vertical="center"/>
    </xf>
    <xf numFmtId="179" fontId="6" fillId="0" borderId="20" xfId="0" applyNumberFormat="1" applyFont="1" applyBorder="1" applyAlignment="1">
      <alignment vertical="center"/>
    </xf>
    <xf numFmtId="0" fontId="9" fillId="0" borderId="0" xfId="0" applyFont="1" applyAlignment="1">
      <alignment horizontal="left"/>
    </xf>
    <xf numFmtId="0" fontId="30" fillId="0" borderId="0" xfId="1"/>
    <xf numFmtId="0" fontId="11" fillId="0" borderId="0" xfId="0" applyFont="1"/>
    <xf numFmtId="173" fontId="17" fillId="0" borderId="0" xfId="0" applyNumberFormat="1" applyFont="1" applyAlignment="1">
      <alignment horizontal="center"/>
    </xf>
    <xf numFmtId="0" fontId="8" fillId="0" borderId="0" xfId="0" applyFont="1" applyAlignment="1">
      <alignment horizontal="left"/>
    </xf>
    <xf numFmtId="0" fontId="8" fillId="0" borderId="0" xfId="0" applyFont="1"/>
    <xf numFmtId="0" fontId="4" fillId="0" borderId="0" xfId="0" quotePrefix="1" applyFont="1"/>
    <xf numFmtId="8" fontId="0" fillId="0" borderId="0" xfId="0" applyNumberFormat="1"/>
    <xf numFmtId="0" fontId="34" fillId="0" borderId="0" xfId="0" applyFont="1"/>
    <xf numFmtId="173" fontId="17" fillId="0" borderId="0" xfId="0" applyNumberFormat="1" applyFont="1" applyAlignment="1">
      <alignment horizontal="left"/>
    </xf>
    <xf numFmtId="173" fontId="8" fillId="0" borderId="0" xfId="0" applyNumberFormat="1" applyFont="1" applyAlignment="1">
      <alignment horizontal="left"/>
    </xf>
    <xf numFmtId="49" fontId="4" fillId="0" borderId="0" xfId="0" applyNumberFormat="1" applyFont="1" applyAlignment="1">
      <alignment horizontal="left"/>
    </xf>
    <xf numFmtId="1" fontId="34" fillId="0" borderId="0" xfId="0" applyNumberFormat="1" applyFont="1"/>
    <xf numFmtId="40" fontId="34" fillId="0" borderId="0" xfId="0" applyNumberFormat="1" applyFont="1"/>
    <xf numFmtId="0" fontId="31" fillId="0" borderId="5" xfId="0" applyFont="1" applyBorder="1" applyAlignment="1">
      <alignment horizontal="center"/>
    </xf>
    <xf numFmtId="40" fontId="31" fillId="0" borderId="5" xfId="0" applyNumberFormat="1" applyFont="1" applyBorder="1" applyAlignment="1">
      <alignment horizontal="center"/>
    </xf>
    <xf numFmtId="0" fontId="31" fillId="0" borderId="0" xfId="0" applyFont="1" applyAlignment="1">
      <alignment horizontal="center"/>
    </xf>
    <xf numFmtId="40" fontId="31" fillId="0" borderId="0" xfId="0" applyNumberFormat="1" applyFont="1" applyAlignment="1">
      <alignment horizontal="center"/>
    </xf>
    <xf numFmtId="0" fontId="10" fillId="0" borderId="12" xfId="0" applyFont="1" applyBorder="1" applyAlignment="1">
      <alignment horizontal="left"/>
    </xf>
    <xf numFmtId="0" fontId="10" fillId="0" borderId="12" xfId="0" applyFont="1" applyBorder="1"/>
    <xf numFmtId="0" fontId="34" fillId="0" borderId="5" xfId="0" applyFont="1" applyBorder="1"/>
    <xf numFmtId="181" fontId="4" fillId="0" borderId="0" xfId="0" applyNumberFormat="1" applyFont="1"/>
    <xf numFmtId="182" fontId="4" fillId="0" borderId="0" xfId="0" applyNumberFormat="1" applyFont="1"/>
    <xf numFmtId="169" fontId="11" fillId="0" borderId="4" xfId="0" applyNumberFormat="1" applyFont="1" applyBorder="1" applyAlignment="1">
      <alignment horizontal="center"/>
    </xf>
    <xf numFmtId="169" fontId="4" fillId="0" borderId="0" xfId="0" applyNumberFormat="1" applyFont="1"/>
    <xf numFmtId="183" fontId="11" fillId="0" borderId="0" xfId="0" applyNumberFormat="1" applyFont="1" applyAlignment="1">
      <alignment horizontal="center"/>
    </xf>
    <xf numFmtId="0" fontId="7" fillId="0" borderId="0" xfId="0" applyFont="1"/>
    <xf numFmtId="179" fontId="6" fillId="0" borderId="21" xfId="0" applyNumberFormat="1" applyFont="1" applyBorder="1" applyAlignment="1">
      <alignment vertical="center"/>
    </xf>
    <xf numFmtId="0" fontId="33" fillId="6" borderId="5" xfId="0" applyFont="1" applyFill="1" applyBorder="1" applyAlignment="1">
      <alignment horizontal="center"/>
    </xf>
    <xf numFmtId="177" fontId="14" fillId="0" borderId="5" xfId="0" applyNumberFormat="1" applyFont="1" applyBorder="1" applyAlignment="1">
      <alignment horizontal="center"/>
    </xf>
    <xf numFmtId="0" fontId="5" fillId="0" borderId="5" xfId="0" applyFont="1" applyBorder="1"/>
    <xf numFmtId="0" fontId="8" fillId="0" borderId="5" xfId="0" applyFont="1" applyBorder="1" applyAlignment="1">
      <alignment horizontal="center"/>
    </xf>
    <xf numFmtId="1" fontId="6" fillId="0" borderId="0" xfId="0" applyNumberFormat="1" applyFont="1"/>
    <xf numFmtId="177" fontId="6" fillId="0" borderId="0" xfId="0" applyNumberFormat="1" applyFont="1"/>
    <xf numFmtId="0" fontId="6" fillId="0" borderId="0" xfId="0" applyFont="1" applyAlignment="1">
      <alignment vertical="top"/>
    </xf>
    <xf numFmtId="0" fontId="6" fillId="0" borderId="0" xfId="0" applyFont="1" applyAlignment="1">
      <alignment wrapText="1"/>
    </xf>
    <xf numFmtId="0" fontId="38" fillId="7" borderId="0" xfId="0" applyFont="1" applyFill="1"/>
    <xf numFmtId="14" fontId="38" fillId="7" borderId="0" xfId="0" applyNumberFormat="1" applyFont="1" applyFill="1"/>
    <xf numFmtId="0" fontId="41" fillId="0" borderId="0" xfId="0" applyFont="1"/>
    <xf numFmtId="0" fontId="42" fillId="0" borderId="0" xfId="0" applyFont="1"/>
    <xf numFmtId="0" fontId="9" fillId="0" borderId="0" xfId="0" applyFont="1" applyAlignment="1">
      <alignment horizontal="center"/>
    </xf>
    <xf numFmtId="0" fontId="14" fillId="0" borderId="5" xfId="0" applyFont="1" applyBorder="1" applyAlignment="1">
      <alignment horizontal="center"/>
    </xf>
    <xf numFmtId="0" fontId="6" fillId="0" borderId="0" xfId="0" applyFont="1" applyAlignment="1">
      <alignment horizontal="left"/>
    </xf>
    <xf numFmtId="0" fontId="29" fillId="4" borderId="12" xfId="0" applyFont="1" applyFill="1" applyBorder="1" applyAlignment="1">
      <alignment readingOrder="1"/>
    </xf>
    <xf numFmtId="1" fontId="6" fillId="0" borderId="20" xfId="0" applyNumberFormat="1" applyFont="1" applyBorder="1" applyAlignment="1">
      <alignment vertical="center"/>
    </xf>
    <xf numFmtId="0" fontId="43" fillId="0" borderId="0" xfId="0" applyFont="1"/>
    <xf numFmtId="40" fontId="44" fillId="0" borderId="0" xfId="0" applyNumberFormat="1" applyFont="1"/>
    <xf numFmtId="14" fontId="0" fillId="0" borderId="0" xfId="0" applyNumberFormat="1"/>
    <xf numFmtId="40" fontId="4" fillId="0" borderId="0" xfId="0" applyNumberFormat="1" applyFont="1" applyAlignment="1">
      <alignment horizontal="right"/>
    </xf>
    <xf numFmtId="40" fontId="4" fillId="0" borderId="4" xfId="0" applyNumberFormat="1" applyFont="1" applyBorder="1"/>
    <xf numFmtId="40" fontId="0" fillId="0" borderId="5" xfId="0" applyNumberFormat="1" applyBorder="1"/>
    <xf numFmtId="40" fontId="4" fillId="0" borderId="5" xfId="0" applyNumberFormat="1" applyFont="1" applyBorder="1"/>
    <xf numFmtId="40" fontId="33" fillId="0" borderId="5" xfId="0" applyNumberFormat="1" applyFont="1" applyBorder="1" applyAlignment="1">
      <alignment horizontal="center"/>
    </xf>
    <xf numFmtId="40" fontId="3" fillId="0" borderId="3" xfId="0" applyNumberFormat="1" applyFont="1" applyBorder="1"/>
    <xf numFmtId="0" fontId="6" fillId="0" borderId="0" xfId="0" quotePrefix="1" applyFont="1"/>
    <xf numFmtId="40" fontId="0" fillId="0" borderId="14" xfId="0" applyNumberFormat="1" applyBorder="1"/>
    <xf numFmtId="0" fontId="3" fillId="0" borderId="15" xfId="4" applyFont="1" applyBorder="1" applyAlignment="1">
      <alignment horizontal="center" vertical="center"/>
    </xf>
    <xf numFmtId="0" fontId="6" fillId="0" borderId="0" xfId="0" applyFont="1" applyAlignment="1">
      <alignment horizontal="center"/>
    </xf>
    <xf numFmtId="40" fontId="6" fillId="0" borderId="0" xfId="0" applyNumberFormat="1" applyFont="1" applyAlignment="1">
      <alignment horizontal="right"/>
    </xf>
    <xf numFmtId="40" fontId="30" fillId="0" borderId="0" xfId="1" applyNumberFormat="1"/>
    <xf numFmtId="8" fontId="11" fillId="0" borderId="0" xfId="0" applyNumberFormat="1" applyFont="1" applyAlignment="1">
      <alignment horizontal="right"/>
    </xf>
    <xf numFmtId="0" fontId="6" fillId="0" borderId="5" xfId="0" applyFont="1" applyBorder="1"/>
    <xf numFmtId="40" fontId="9" fillId="0" borderId="0" xfId="0" applyNumberFormat="1" applyFont="1"/>
    <xf numFmtId="0" fontId="9" fillId="0" borderId="5" xfId="2" applyFont="1"/>
    <xf numFmtId="185" fontId="0" fillId="0" borderId="0" xfId="0" applyNumberFormat="1"/>
    <xf numFmtId="9" fontId="4" fillId="0" borderId="0" xfId="12" applyFont="1"/>
    <xf numFmtId="178" fontId="9" fillId="0" borderId="0" xfId="0" applyNumberFormat="1" applyFont="1"/>
    <xf numFmtId="49" fontId="6" fillId="0" borderId="0" xfId="0" applyNumberFormat="1" applyFont="1"/>
    <xf numFmtId="40" fontId="6" fillId="0" borderId="5" xfId="0" applyNumberFormat="1" applyFont="1" applyBorder="1"/>
    <xf numFmtId="40" fontId="4" fillId="0" borderId="6" xfId="0" applyNumberFormat="1" applyFont="1" applyBorder="1"/>
    <xf numFmtId="0" fontId="5" fillId="0" borderId="0" xfId="0" applyFont="1" applyAlignment="1">
      <alignment horizontal="center"/>
    </xf>
    <xf numFmtId="0" fontId="33" fillId="0" borderId="6" xfId="0" applyFont="1" applyBorder="1" applyAlignment="1">
      <alignment horizontal="center"/>
    </xf>
    <xf numFmtId="177" fontId="6" fillId="0" borderId="5" xfId="0" applyNumberFormat="1" applyFont="1" applyBorder="1"/>
    <xf numFmtId="177" fontId="6" fillId="0" borderId="0" xfId="0" applyNumberFormat="1" applyFont="1" applyAlignment="1">
      <alignment horizontal="left"/>
    </xf>
    <xf numFmtId="49" fontId="11" fillId="0" borderId="0" xfId="0" applyNumberFormat="1" applyFont="1" applyAlignment="1">
      <alignment horizontal="left"/>
    </xf>
    <xf numFmtId="178" fontId="11" fillId="0" borderId="0" xfId="0" applyNumberFormat="1" applyFont="1" applyAlignment="1">
      <alignment horizontal="right"/>
    </xf>
    <xf numFmtId="38" fontId="11" fillId="0" borderId="0" xfId="0" applyNumberFormat="1" applyFont="1"/>
    <xf numFmtId="1" fontId="31" fillId="0" borderId="5" xfId="0" applyNumberFormat="1" applyFont="1" applyBorder="1" applyAlignment="1">
      <alignment horizontal="center"/>
    </xf>
    <xf numFmtId="0" fontId="14" fillId="0" borderId="6" xfId="0" applyFont="1" applyBorder="1" applyAlignment="1">
      <alignment horizontal="center"/>
    </xf>
    <xf numFmtId="40" fontId="14" fillId="0" borderId="6" xfId="0" applyNumberFormat="1" applyFont="1" applyBorder="1" applyAlignment="1">
      <alignment horizontal="center"/>
    </xf>
    <xf numFmtId="14" fontId="4" fillId="0" borderId="0" xfId="0" applyNumberFormat="1" applyFont="1"/>
    <xf numFmtId="0" fontId="3" fillId="0" borderId="0" xfId="0" applyFont="1" applyAlignment="1">
      <alignment horizontal="right"/>
    </xf>
    <xf numFmtId="186" fontId="4" fillId="0" borderId="0" xfId="0" applyNumberFormat="1" applyFont="1"/>
    <xf numFmtId="186" fontId="30" fillId="0" borderId="0" xfId="1" applyNumberFormat="1"/>
    <xf numFmtId="186" fontId="31" fillId="0" borderId="5" xfId="0" applyNumberFormat="1" applyFont="1" applyBorder="1" applyAlignment="1">
      <alignment horizontal="center"/>
    </xf>
    <xf numFmtId="186" fontId="11" fillId="0" borderId="0" xfId="0" applyNumberFormat="1" applyFont="1" applyAlignment="1">
      <alignment horizontal="right"/>
    </xf>
    <xf numFmtId="186" fontId="34" fillId="0" borderId="0" xfId="0" applyNumberFormat="1" applyFont="1"/>
    <xf numFmtId="186" fontId="0" fillId="0" borderId="0" xfId="0" applyNumberFormat="1"/>
    <xf numFmtId="186" fontId="6" fillId="0" borderId="0" xfId="0" applyNumberFormat="1" applyFont="1" applyAlignment="1">
      <alignment horizontal="left"/>
    </xf>
    <xf numFmtId="186" fontId="0" fillId="0" borderId="0" xfId="0" applyNumberFormat="1" applyAlignment="1">
      <alignment horizontal="left"/>
    </xf>
    <xf numFmtId="186" fontId="29" fillId="4" borderId="10" xfId="0" applyNumberFormat="1" applyFont="1" applyFill="1" applyBorder="1" applyAlignment="1">
      <alignment readingOrder="1"/>
    </xf>
    <xf numFmtId="186" fontId="4" fillId="0" borderId="5" xfId="0" applyNumberFormat="1" applyFont="1" applyBorder="1"/>
    <xf numFmtId="186" fontId="33" fillId="0" borderId="6" xfId="0" applyNumberFormat="1" applyFont="1" applyBorder="1" applyAlignment="1">
      <alignment horizontal="center"/>
    </xf>
    <xf numFmtId="186" fontId="6" fillId="0" borderId="20" xfId="0" applyNumberFormat="1" applyFont="1" applyBorder="1" applyAlignment="1">
      <alignment vertical="center"/>
    </xf>
    <xf numFmtId="186" fontId="6" fillId="0" borderId="0" xfId="0" applyNumberFormat="1" applyFont="1"/>
    <xf numFmtId="186" fontId="11" fillId="0" borderId="0" xfId="0" applyNumberFormat="1" applyFont="1"/>
    <xf numFmtId="186" fontId="9" fillId="0" borderId="0" xfId="0" applyNumberFormat="1" applyFont="1" applyAlignment="1">
      <alignment horizontal="left"/>
    </xf>
    <xf numFmtId="0" fontId="6" fillId="0" borderId="5" xfId="13"/>
    <xf numFmtId="0" fontId="53" fillId="10" borderId="5" xfId="13" applyFont="1" applyFill="1" applyAlignment="1">
      <alignment horizontal="center"/>
    </xf>
    <xf numFmtId="40" fontId="16" fillId="10" borderId="5" xfId="13" applyNumberFormat="1" applyFont="1" applyFill="1"/>
    <xf numFmtId="0" fontId="16" fillId="10" borderId="5" xfId="13" applyFont="1" applyFill="1"/>
    <xf numFmtId="1" fontId="16" fillId="10" borderId="5" xfId="13" applyNumberFormat="1" applyFont="1" applyFill="1"/>
    <xf numFmtId="173" fontId="16" fillId="10" borderId="5" xfId="13" applyNumberFormat="1" applyFont="1" applyFill="1"/>
    <xf numFmtId="187" fontId="16" fillId="10" borderId="5" xfId="13" applyNumberFormat="1" applyFont="1" applyFill="1"/>
    <xf numFmtId="190" fontId="16" fillId="10" borderId="5" xfId="13" applyNumberFormat="1" applyFont="1" applyFill="1"/>
    <xf numFmtId="1" fontId="57" fillId="8" borderId="5" xfId="13" applyNumberFormat="1" applyFont="1" applyFill="1" applyAlignment="1">
      <alignment horizontal="center" wrapText="1"/>
    </xf>
    <xf numFmtId="189" fontId="57" fillId="8" borderId="5" xfId="13" applyNumberFormat="1" applyFont="1" applyFill="1" applyAlignment="1">
      <alignment horizontal="center"/>
    </xf>
    <xf numFmtId="0" fontId="57" fillId="8" borderId="5" xfId="13" applyFont="1" applyFill="1" applyAlignment="1">
      <alignment horizontal="center"/>
    </xf>
    <xf numFmtId="0" fontId="57" fillId="8" borderId="6" xfId="13" applyFont="1" applyFill="1" applyBorder="1" applyAlignment="1">
      <alignment horizontal="center"/>
    </xf>
    <xf numFmtId="0" fontId="57" fillId="8" borderId="6" xfId="13" applyFont="1" applyFill="1" applyBorder="1" applyAlignment="1">
      <alignment horizontal="center" wrapText="1"/>
    </xf>
    <xf numFmtId="187" fontId="57" fillId="8" borderId="5" xfId="13" applyNumberFormat="1" applyFont="1" applyFill="1" applyAlignment="1">
      <alignment horizontal="center" wrapText="1"/>
    </xf>
    <xf numFmtId="40" fontId="57" fillId="8" borderId="5" xfId="13" applyNumberFormat="1" applyFont="1" applyFill="1" applyAlignment="1">
      <alignment horizontal="center" wrapText="1"/>
    </xf>
    <xf numFmtId="187" fontId="11" fillId="0" borderId="5" xfId="13" applyNumberFormat="1" applyFont="1"/>
    <xf numFmtId="40" fontId="6" fillId="0" borderId="5" xfId="13" applyNumberFormat="1"/>
    <xf numFmtId="43" fontId="6" fillId="0" borderId="5" xfId="13" applyNumberFormat="1"/>
    <xf numFmtId="0" fontId="10" fillId="0" borderId="5" xfId="2" applyFont="1"/>
    <xf numFmtId="38" fontId="16" fillId="10" borderId="5" xfId="13" applyNumberFormat="1" applyFont="1" applyFill="1"/>
    <xf numFmtId="38" fontId="57" fillId="8" borderId="5" xfId="13" applyNumberFormat="1" applyFont="1" applyFill="1" applyAlignment="1">
      <alignment horizontal="center" wrapText="1"/>
    </xf>
    <xf numFmtId="38" fontId="6" fillId="0" borderId="5" xfId="13" applyNumberFormat="1"/>
    <xf numFmtId="0" fontId="17" fillId="10" borderId="5" xfId="13" applyFont="1" applyFill="1" applyAlignment="1">
      <alignment horizontal="center"/>
    </xf>
    <xf numFmtId="0" fontId="10" fillId="0" borderId="5" xfId="13" applyFont="1" applyAlignment="1">
      <alignment horizontal="left"/>
    </xf>
    <xf numFmtId="0" fontId="9" fillId="0" borderId="5" xfId="13" applyFont="1"/>
    <xf numFmtId="173" fontId="9" fillId="0" borderId="5" xfId="13" applyNumberFormat="1" applyFont="1"/>
    <xf numFmtId="4" fontId="9" fillId="0" borderId="5" xfId="13" applyNumberFormat="1" applyFont="1" applyAlignment="1">
      <alignment horizontal="right"/>
    </xf>
    <xf numFmtId="188" fontId="62" fillId="0" borderId="5" xfId="13" applyNumberFormat="1" applyFont="1" applyAlignment="1">
      <alignment horizontal="right"/>
    </xf>
    <xf numFmtId="0" fontId="62" fillId="0" borderId="5" xfId="13" applyFont="1"/>
    <xf numFmtId="187" fontId="62" fillId="0" borderId="5" xfId="13" applyNumberFormat="1" applyFont="1" applyAlignment="1">
      <alignment horizontal="right"/>
    </xf>
    <xf numFmtId="40" fontId="9" fillId="0" borderId="5" xfId="13" applyNumberFormat="1" applyFont="1"/>
    <xf numFmtId="0" fontId="9" fillId="0" borderId="5" xfId="13" applyFont="1" applyAlignment="1">
      <alignment horizontal="right"/>
    </xf>
    <xf numFmtId="187" fontId="9" fillId="0" borderId="5" xfId="13" applyNumberFormat="1" applyFont="1" applyAlignment="1">
      <alignment horizontal="right"/>
    </xf>
    <xf numFmtId="173" fontId="10" fillId="0" borderId="5" xfId="13" applyNumberFormat="1" applyFont="1"/>
    <xf numFmtId="0" fontId="10" fillId="10" borderId="5" xfId="13" applyFont="1" applyFill="1"/>
    <xf numFmtId="187" fontId="10" fillId="0" borderId="5" xfId="13" applyNumberFormat="1" applyFont="1"/>
    <xf numFmtId="188" fontId="9" fillId="0" borderId="5" xfId="13" applyNumberFormat="1" applyFont="1"/>
    <xf numFmtId="188" fontId="63" fillId="0" borderId="5" xfId="13" applyNumberFormat="1" applyFont="1"/>
    <xf numFmtId="187" fontId="63" fillId="0" borderId="5" xfId="13" applyNumberFormat="1" applyFont="1"/>
    <xf numFmtId="0" fontId="12" fillId="0" borderId="5" xfId="13" applyFont="1" applyAlignment="1">
      <alignment horizontal="center"/>
    </xf>
    <xf numFmtId="187" fontId="9" fillId="0" borderId="5" xfId="0" applyNumberFormat="1" applyFont="1" applyBorder="1"/>
    <xf numFmtId="187" fontId="9" fillId="0" borderId="0" xfId="0" applyNumberFormat="1" applyFont="1"/>
    <xf numFmtId="187" fontId="9" fillId="0" borderId="5" xfId="13" applyNumberFormat="1" applyFont="1"/>
    <xf numFmtId="187" fontId="6" fillId="0" borderId="5" xfId="13" applyNumberFormat="1"/>
    <xf numFmtId="187" fontId="10" fillId="10" borderId="5" xfId="13" applyNumberFormat="1" applyFont="1" applyFill="1"/>
    <xf numFmtId="187" fontId="11" fillId="10" borderId="5" xfId="13" applyNumberFormat="1" applyFont="1" applyFill="1"/>
    <xf numFmtId="187" fontId="17" fillId="0" borderId="0" xfId="0" applyNumberFormat="1" applyFont="1" applyAlignment="1">
      <alignment horizontal="center"/>
    </xf>
    <xf numFmtId="187" fontId="10" fillId="0" borderId="0" xfId="0" applyNumberFormat="1" applyFont="1"/>
    <xf numFmtId="38" fontId="10" fillId="0" borderId="5" xfId="2" applyNumberFormat="1" applyFont="1" applyAlignment="1">
      <alignment horizontal="right"/>
    </xf>
    <xf numFmtId="1" fontId="6" fillId="0" borderId="5" xfId="13" applyNumberFormat="1"/>
    <xf numFmtId="0" fontId="12" fillId="9" borderId="5" xfId="13" applyFont="1" applyFill="1"/>
    <xf numFmtId="0" fontId="17" fillId="11" borderId="5" xfId="13" applyFont="1" applyFill="1"/>
    <xf numFmtId="0" fontId="17" fillId="9" borderId="5" xfId="13" applyFont="1" applyFill="1"/>
    <xf numFmtId="0" fontId="17" fillId="10" borderId="5" xfId="13" applyFont="1" applyFill="1"/>
    <xf numFmtId="0" fontId="57" fillId="8" borderId="5" xfId="13" applyFont="1" applyFill="1" applyAlignment="1">
      <alignment horizontal="left"/>
    </xf>
    <xf numFmtId="43" fontId="4" fillId="0" borderId="0" xfId="0" applyNumberFormat="1" applyFont="1"/>
    <xf numFmtId="1" fontId="9" fillId="0" borderId="0" xfId="0" applyNumberFormat="1" applyFont="1" applyAlignment="1">
      <alignment horizontal="left"/>
    </xf>
    <xf numFmtId="170" fontId="8" fillId="0" borderId="0" xfId="0" applyNumberFormat="1" applyFont="1" applyAlignment="1">
      <alignment horizontal="left"/>
    </xf>
    <xf numFmtId="40" fontId="4" fillId="0" borderId="0" xfId="0" applyNumberFormat="1" applyFont="1" applyAlignment="1">
      <alignment horizontal="left"/>
    </xf>
    <xf numFmtId="1" fontId="4" fillId="0" borderId="0" xfId="0" applyNumberFormat="1" applyFont="1" applyAlignment="1">
      <alignment horizontal="right"/>
    </xf>
    <xf numFmtId="170" fontId="4" fillId="0" borderId="0" xfId="0" applyNumberFormat="1" applyFont="1"/>
    <xf numFmtId="0" fontId="4" fillId="0" borderId="0" xfId="0" applyFont="1" applyAlignment="1">
      <alignment horizontal="left"/>
    </xf>
    <xf numFmtId="174" fontId="0" fillId="0" borderId="0" xfId="0" applyNumberFormat="1"/>
    <xf numFmtId="168" fontId="21" fillId="3" borderId="0" xfId="0" applyNumberFormat="1" applyFont="1" applyFill="1" applyAlignment="1">
      <alignment horizontal="right" wrapText="1"/>
    </xf>
    <xf numFmtId="184" fontId="16" fillId="10" borderId="5" xfId="13" applyNumberFormat="1" applyFont="1" applyFill="1"/>
    <xf numFmtId="184" fontId="57" fillId="8" borderId="5" xfId="13" applyNumberFormat="1" applyFont="1" applyFill="1" applyAlignment="1">
      <alignment horizontal="center" wrapText="1"/>
    </xf>
    <xf numFmtId="184" fontId="6" fillId="0" borderId="5" xfId="13" applyNumberFormat="1"/>
    <xf numFmtId="184" fontId="11" fillId="10" borderId="5" xfId="13" applyNumberFormat="1" applyFont="1" applyFill="1"/>
    <xf numFmtId="187" fontId="0" fillId="0" borderId="0" xfId="0" applyNumberFormat="1"/>
    <xf numFmtId="187" fontId="6" fillId="0" borderId="0" xfId="0" applyNumberFormat="1" applyFont="1"/>
    <xf numFmtId="187" fontId="0" fillId="0" borderId="5" xfId="0" applyNumberFormat="1" applyBorder="1"/>
    <xf numFmtId="187" fontId="8" fillId="0" borderId="0" xfId="0" applyNumberFormat="1" applyFont="1"/>
    <xf numFmtId="1" fontId="6" fillId="0" borderId="0" xfId="0" applyNumberFormat="1" applyFont="1" applyAlignment="1">
      <alignment horizontal="center"/>
    </xf>
    <xf numFmtId="40" fontId="9" fillId="0" borderId="15" xfId="13" applyNumberFormat="1" applyFont="1" applyBorder="1"/>
    <xf numFmtId="187" fontId="9" fillId="0" borderId="0" xfId="0" applyNumberFormat="1" applyFont="1" applyAlignment="1">
      <alignment horizontal="left"/>
    </xf>
    <xf numFmtId="186" fontId="7" fillId="0" borderId="0" xfId="0" applyNumberFormat="1" applyFont="1" applyAlignment="1">
      <alignment horizontal="left"/>
    </xf>
    <xf numFmtId="186" fontId="8" fillId="0" borderId="0" xfId="0" applyNumberFormat="1" applyFont="1" applyAlignment="1">
      <alignment horizontal="left"/>
    </xf>
    <xf numFmtId="0" fontId="6" fillId="0" borderId="5" xfId="0" applyFont="1" applyBorder="1" applyAlignment="1">
      <alignment horizontal="left"/>
    </xf>
    <xf numFmtId="0" fontId="36" fillId="0" borderId="5" xfId="0" applyFont="1" applyBorder="1" applyAlignment="1">
      <alignment horizontal="left"/>
    </xf>
    <xf numFmtId="38" fontId="10" fillId="0" borderId="5" xfId="23" applyNumberFormat="1" applyFont="1" applyAlignment="1">
      <alignment horizontal="right"/>
    </xf>
    <xf numFmtId="0" fontId="9" fillId="0" borderId="5" xfId="23" applyFont="1"/>
    <xf numFmtId="38" fontId="10" fillId="0" borderId="5" xfId="23" applyNumberFormat="1" applyFont="1"/>
    <xf numFmtId="0" fontId="9" fillId="0" borderId="13" xfId="23" applyFont="1" applyBorder="1"/>
    <xf numFmtId="0" fontId="9" fillId="0" borderId="5" xfId="23" applyFont="1" applyAlignment="1">
      <alignment horizontal="centerContinuous"/>
    </xf>
    <xf numFmtId="38" fontId="10" fillId="0" borderId="23" xfId="23" applyNumberFormat="1" applyFont="1" applyBorder="1" applyAlignment="1">
      <alignment horizontal="right"/>
    </xf>
    <xf numFmtId="0" fontId="10" fillId="0" borderId="5" xfId="23" applyFont="1" applyAlignment="1">
      <alignment horizontal="left"/>
    </xf>
    <xf numFmtId="38" fontId="10" fillId="0" borderId="13" xfId="2" applyNumberFormat="1" applyFont="1" applyBorder="1" applyAlignment="1">
      <alignment horizontal="right"/>
    </xf>
    <xf numFmtId="179" fontId="12" fillId="0" borderId="5" xfId="23" applyNumberFormat="1" applyFont="1" applyAlignment="1">
      <alignment horizontal="center"/>
    </xf>
    <xf numFmtId="40" fontId="8" fillId="0" borderId="5" xfId="23" applyNumberFormat="1" applyFont="1" applyAlignment="1">
      <alignment horizontal="centerContinuous"/>
    </xf>
    <xf numFmtId="166" fontId="10" fillId="0" borderId="5" xfId="23" applyNumberFormat="1" applyFont="1" applyAlignment="1">
      <alignment horizontal="right"/>
    </xf>
    <xf numFmtId="0" fontId="10" fillId="0" borderId="5" xfId="23" applyFont="1"/>
    <xf numFmtId="38" fontId="9" fillId="0" borderId="5" xfId="23" applyNumberFormat="1" applyFont="1"/>
    <xf numFmtId="171" fontId="10" fillId="0" borderId="5" xfId="23" applyNumberFormat="1" applyFont="1" applyAlignment="1">
      <alignment horizontal="right"/>
    </xf>
    <xf numFmtId="164" fontId="10" fillId="0" borderId="5" xfId="23" applyNumberFormat="1" applyFont="1" applyAlignment="1">
      <alignment horizontal="right"/>
    </xf>
    <xf numFmtId="171" fontId="10" fillId="0" borderId="5" xfId="23" applyNumberFormat="1" applyFont="1"/>
    <xf numFmtId="38" fontId="10" fillId="0" borderId="13" xfId="23" applyNumberFormat="1" applyFont="1" applyBorder="1" applyAlignment="1">
      <alignment horizontal="right"/>
    </xf>
    <xf numFmtId="0" fontId="10" fillId="0" borderId="13" xfId="23" applyFont="1" applyBorder="1"/>
    <xf numFmtId="40" fontId="3" fillId="0" borderId="5" xfId="23" applyNumberFormat="1" applyFont="1" applyAlignment="1">
      <alignment horizontal="centerContinuous"/>
    </xf>
    <xf numFmtId="0" fontId="10" fillId="0" borderId="5" xfId="23" applyFont="1" applyAlignment="1">
      <alignment wrapText="1"/>
    </xf>
    <xf numFmtId="38" fontId="10" fillId="0" borderId="23" xfId="23" applyNumberFormat="1" applyFont="1" applyBorder="1"/>
    <xf numFmtId="38" fontId="65" fillId="0" borderId="5" xfId="23" applyNumberFormat="1" applyFont="1" applyAlignment="1">
      <alignment horizontal="right"/>
    </xf>
    <xf numFmtId="38" fontId="10" fillId="0" borderId="1" xfId="23" applyNumberFormat="1" applyFont="1" applyBorder="1" applyAlignment="1">
      <alignment horizontal="right"/>
    </xf>
    <xf numFmtId="38" fontId="10" fillId="0" borderId="1" xfId="23" applyNumberFormat="1" applyFont="1" applyBorder="1"/>
    <xf numFmtId="38" fontId="10" fillId="0" borderId="13" xfId="23" applyNumberFormat="1" applyFont="1" applyBorder="1"/>
    <xf numFmtId="40" fontId="6" fillId="0" borderId="5" xfId="23" applyNumberFormat="1"/>
    <xf numFmtId="40" fontId="4" fillId="0" borderId="5" xfId="23" applyNumberFormat="1" applyFont="1"/>
    <xf numFmtId="40" fontId="6" fillId="0" borderId="5" xfId="23" applyNumberFormat="1" applyAlignment="1">
      <alignment horizontal="center"/>
    </xf>
    <xf numFmtId="40" fontId="6" fillId="0" borderId="5" xfId="24" applyNumberFormat="1"/>
    <xf numFmtId="40" fontId="34" fillId="12" borderId="5" xfId="25" applyNumberFormat="1" applyFont="1" applyFill="1"/>
    <xf numFmtId="40" fontId="6" fillId="0" borderId="5" xfId="25" applyNumberFormat="1" applyFont="1"/>
    <xf numFmtId="40" fontId="6" fillId="0" borderId="13" xfId="24" applyNumberFormat="1" applyBorder="1"/>
    <xf numFmtId="38" fontId="10" fillId="0" borderId="5" xfId="2" applyNumberFormat="1" applyFont="1" applyAlignment="1">
      <alignment horizontal="left"/>
    </xf>
    <xf numFmtId="40" fontId="8" fillId="0" borderId="5" xfId="24" applyNumberFormat="1" applyFont="1" applyAlignment="1">
      <alignment horizontal="centerContinuous"/>
    </xf>
    <xf numFmtId="38" fontId="6" fillId="0" borderId="5" xfId="24" applyNumberFormat="1" applyAlignment="1">
      <alignment horizontal="right"/>
    </xf>
    <xf numFmtId="0" fontId="9" fillId="0" borderId="5" xfId="24" applyFont="1"/>
    <xf numFmtId="38" fontId="10" fillId="0" borderId="5" xfId="24" applyNumberFormat="1" applyFont="1"/>
    <xf numFmtId="38" fontId="10" fillId="0" borderId="5" xfId="24" applyNumberFormat="1" applyFont="1" applyAlignment="1">
      <alignment horizontal="right"/>
    </xf>
    <xf numFmtId="187" fontId="10" fillId="0" borderId="5" xfId="25" applyNumberFormat="1" applyFont="1"/>
    <xf numFmtId="177" fontId="6" fillId="0" borderId="0" xfId="0" applyNumberFormat="1" applyFont="1" applyAlignment="1">
      <alignment horizontal="right"/>
    </xf>
    <xf numFmtId="177" fontId="6" fillId="0" borderId="0" xfId="0" applyNumberFormat="1" applyFont="1" applyAlignment="1">
      <alignment wrapText="1"/>
    </xf>
    <xf numFmtId="177" fontId="6" fillId="0" borderId="0" xfId="0" applyNumberFormat="1" applyFont="1" applyAlignment="1">
      <alignment horizontal="left" vertical="top"/>
    </xf>
    <xf numFmtId="0" fontId="6" fillId="0" borderId="0" xfId="0" applyFont="1" applyAlignment="1">
      <alignment horizontal="left" vertical="top" wrapText="1"/>
    </xf>
    <xf numFmtId="174" fontId="4" fillId="0" borderId="0" xfId="0" applyNumberFormat="1" applyFont="1" applyAlignment="1">
      <alignment horizontal="left" vertical="top" wrapText="1"/>
    </xf>
    <xf numFmtId="1" fontId="4" fillId="0" borderId="0" xfId="0" applyNumberFormat="1" applyFont="1" applyAlignment="1">
      <alignment horizontal="center"/>
    </xf>
    <xf numFmtId="49" fontId="4" fillId="0" borderId="0" xfId="0" applyNumberFormat="1" applyFont="1"/>
    <xf numFmtId="177" fontId="4" fillId="0" borderId="0" xfId="0" applyNumberFormat="1" applyFont="1" applyAlignment="1">
      <alignment horizontal="left" vertical="top"/>
    </xf>
    <xf numFmtId="43" fontId="6" fillId="0" borderId="0" xfId="0" applyNumberFormat="1" applyFont="1" applyAlignment="1">
      <alignment horizontal="left"/>
    </xf>
    <xf numFmtId="172" fontId="4" fillId="0" borderId="0" xfId="0" applyNumberFormat="1" applyFont="1" applyAlignment="1">
      <alignment horizontal="left" vertical="top" wrapText="1"/>
    </xf>
    <xf numFmtId="172" fontId="6" fillId="0" borderId="0" xfId="0" applyNumberFormat="1" applyFont="1" applyAlignment="1">
      <alignment horizontal="right"/>
    </xf>
    <xf numFmtId="40" fontId="6" fillId="0" borderId="5" xfId="23" applyNumberFormat="1" applyAlignment="1">
      <alignment horizontal="left"/>
    </xf>
    <xf numFmtId="40" fontId="4" fillId="0" borderId="5" xfId="23" applyNumberFormat="1" applyFont="1" applyAlignment="1">
      <alignment horizontal="left"/>
    </xf>
    <xf numFmtId="40" fontId="34" fillId="12" borderId="5" xfId="25" applyNumberFormat="1" applyFont="1" applyFill="1" applyAlignment="1">
      <alignment horizontal="left"/>
    </xf>
    <xf numFmtId="40" fontId="6" fillId="0" borderId="5" xfId="24" applyNumberFormat="1" applyAlignment="1">
      <alignment horizontal="left"/>
    </xf>
    <xf numFmtId="0" fontId="9" fillId="0" borderId="5" xfId="23" applyFont="1" applyAlignment="1">
      <alignment horizontal="left"/>
    </xf>
    <xf numFmtId="0" fontId="10" fillId="0" borderId="5" xfId="24" applyFont="1" applyAlignment="1">
      <alignment horizontal="left"/>
    </xf>
    <xf numFmtId="40" fontId="71" fillId="0" borderId="5" xfId="27" applyNumberFormat="1" applyFont="1" applyAlignment="1">
      <alignment horizontal="right"/>
    </xf>
    <xf numFmtId="38" fontId="6" fillId="0" borderId="5" xfId="25" applyNumberFormat="1" applyFont="1"/>
    <xf numFmtId="40" fontId="6" fillId="0" borderId="5" xfId="25" applyNumberFormat="1" applyFont="1" applyAlignment="1">
      <alignment horizontal="left"/>
    </xf>
    <xf numFmtId="40" fontId="8" fillId="0" borderId="5" xfId="25" applyNumberFormat="1" applyFont="1"/>
    <xf numFmtId="38" fontId="4" fillId="0" borderId="5" xfId="25" applyNumberFormat="1" applyFont="1"/>
    <xf numFmtId="38" fontId="4" fillId="0" borderId="5" xfId="24" applyNumberFormat="1" applyFont="1" applyAlignment="1">
      <alignment horizontal="right"/>
    </xf>
    <xf numFmtId="166" fontId="10" fillId="0" borderId="5" xfId="23" applyNumberFormat="1" applyFont="1" applyAlignment="1">
      <alignment horizontal="centerContinuous"/>
    </xf>
    <xf numFmtId="38" fontId="9" fillId="0" borderId="13" xfId="23" applyNumberFormat="1" applyFont="1" applyBorder="1"/>
    <xf numFmtId="38" fontId="10" fillId="0" borderId="5" xfId="23" applyNumberFormat="1" applyFont="1" applyAlignment="1">
      <alignment horizontal="left"/>
    </xf>
    <xf numFmtId="0" fontId="6" fillId="0" borderId="25" xfId="13" applyBorder="1"/>
    <xf numFmtId="0" fontId="33" fillId="0" borderId="13" xfId="4" applyFont="1" applyBorder="1" applyAlignment="1">
      <alignment horizontal="center" vertical="center" wrapText="1"/>
    </xf>
    <xf numFmtId="0" fontId="33" fillId="0" borderId="13" xfId="4" quotePrefix="1" applyFont="1" applyBorder="1" applyAlignment="1">
      <alignment horizontal="center" vertical="center" wrapText="1"/>
    </xf>
    <xf numFmtId="40" fontId="3" fillId="0" borderId="5" xfId="5" applyFont="1" applyAlignment="1">
      <alignment vertical="center"/>
    </xf>
    <xf numFmtId="40" fontId="4" fillId="0" borderId="5" xfId="5" applyFont="1" applyAlignment="1">
      <alignment vertical="center"/>
    </xf>
    <xf numFmtId="167" fontId="4" fillId="0" borderId="5" xfId="5" applyNumberFormat="1" applyFont="1" applyBorder="1" applyAlignment="1">
      <alignment vertical="center"/>
    </xf>
    <xf numFmtId="167" fontId="4" fillId="0" borderId="5" xfId="5" applyNumberFormat="1" applyFont="1" applyAlignment="1">
      <alignment vertical="center"/>
    </xf>
    <xf numFmtId="40" fontId="4" fillId="0" borderId="5" xfId="5" quotePrefix="1" applyFont="1" applyFill="1" applyBorder="1" applyAlignment="1">
      <alignment vertical="center"/>
    </xf>
    <xf numFmtId="40" fontId="4" fillId="0" borderId="5" xfId="5" applyFont="1" applyBorder="1" applyAlignment="1">
      <alignment vertical="center"/>
    </xf>
    <xf numFmtId="40" fontId="4" fillId="0" borderId="5" xfId="5" applyFont="1" applyFill="1" applyBorder="1" applyAlignment="1">
      <alignment vertical="center"/>
    </xf>
    <xf numFmtId="49" fontId="73" fillId="0" borderId="5" xfId="4" applyNumberFormat="1" applyFont="1" applyAlignment="1">
      <alignment horizontal="left"/>
    </xf>
    <xf numFmtId="0" fontId="3" fillId="0" borderId="5" xfId="4" applyFont="1" applyAlignment="1">
      <alignment horizontal="left" vertical="center" wrapText="1"/>
    </xf>
    <xf numFmtId="40" fontId="4" fillId="0" borderId="5" xfId="5" applyFont="1"/>
    <xf numFmtId="40" fontId="4" fillId="0" borderId="5" xfId="5" applyFont="1" applyBorder="1"/>
    <xf numFmtId="40" fontId="4" fillId="0" borderId="5" xfId="5" applyFont="1" applyFill="1" applyAlignment="1">
      <alignment vertical="center"/>
    </xf>
    <xf numFmtId="40" fontId="4" fillId="0" borderId="5" xfId="5" applyFont="1" applyAlignment="1">
      <alignment horizontal="right"/>
    </xf>
    <xf numFmtId="40" fontId="4" fillId="0" borderId="14" xfId="5" applyFont="1" applyFill="1" applyBorder="1" applyAlignment="1">
      <alignment vertical="top" wrapText="1"/>
    </xf>
    <xf numFmtId="40" fontId="4" fillId="0" borderId="5" xfId="5" applyFont="1" applyFill="1" applyBorder="1" applyAlignment="1">
      <alignment horizontal="left" vertical="top"/>
    </xf>
    <xf numFmtId="167" fontId="4" fillId="0" borderId="5" xfId="5" applyNumberFormat="1" applyFont="1" applyAlignment="1">
      <alignment horizontal="right"/>
    </xf>
    <xf numFmtId="40" fontId="4" fillId="0" borderId="5" xfId="5" applyFont="1" applyFill="1" applyBorder="1" applyAlignment="1">
      <alignment vertical="top" wrapText="1"/>
    </xf>
    <xf numFmtId="40" fontId="4" fillId="0" borderId="5" xfId="5" applyFont="1" applyFill="1" applyBorder="1" applyAlignment="1">
      <alignment horizontal="right" vertical="top"/>
    </xf>
    <xf numFmtId="0" fontId="4" fillId="0" borderId="10" xfId="4" applyBorder="1" applyAlignment="1">
      <alignment horizontal="left" vertical="center"/>
    </xf>
    <xf numFmtId="0" fontId="4" fillId="0" borderId="12" xfId="4" applyBorder="1" applyAlignment="1">
      <alignment horizontal="left" vertical="center"/>
    </xf>
    <xf numFmtId="49" fontId="73" fillId="0" borderId="12" xfId="4" applyNumberFormat="1" applyFont="1" applyBorder="1" applyAlignment="1">
      <alignment horizontal="left"/>
    </xf>
    <xf numFmtId="0" fontId="4" fillId="0" borderId="5" xfId="4">
      <alignment vertical="center"/>
    </xf>
    <xf numFmtId="40" fontId="33" fillId="0" borderId="5" xfId="5" applyFont="1" applyAlignment="1">
      <alignment horizontal="left" vertical="center" wrapText="1"/>
    </xf>
    <xf numFmtId="165" fontId="4" fillId="0" borderId="5" xfId="8" applyNumberFormat="1" applyAlignment="1">
      <alignment horizontal="right"/>
    </xf>
    <xf numFmtId="49" fontId="4" fillId="0" borderId="5" xfId="4" applyNumberFormat="1" applyAlignment="1">
      <alignment vertical="top" wrapText="1"/>
    </xf>
    <xf numFmtId="0" fontId="34" fillId="6" borderId="5" xfId="4" applyFont="1" applyFill="1">
      <alignment vertical="center"/>
    </xf>
    <xf numFmtId="1" fontId="4" fillId="0" borderId="0" xfId="0" applyNumberFormat="1" applyFont="1" applyAlignment="1">
      <alignment horizontal="left"/>
    </xf>
    <xf numFmtId="40" fontId="34" fillId="0" borderId="5" xfId="25" applyNumberFormat="1" applyFont="1"/>
    <xf numFmtId="40" fontId="34" fillId="0" borderId="5" xfId="25" applyNumberFormat="1" applyFont="1" applyAlignment="1">
      <alignment horizontal="left"/>
    </xf>
    <xf numFmtId="40" fontId="4" fillId="0" borderId="5" xfId="25" applyNumberFormat="1" applyFont="1"/>
    <xf numFmtId="38" fontId="6" fillId="0" borderId="5" xfId="25" applyNumberFormat="1" applyFont="1" applyAlignment="1">
      <alignment horizontal="centerContinuous"/>
    </xf>
    <xf numFmtId="0" fontId="3" fillId="0" borderId="5" xfId="23" applyFont="1" applyAlignment="1">
      <alignment horizontal="centerContinuous"/>
    </xf>
    <xf numFmtId="38" fontId="9" fillId="0" borderId="5" xfId="23" applyNumberFormat="1" applyFont="1" applyAlignment="1">
      <alignment horizontal="centerContinuous"/>
    </xf>
    <xf numFmtId="38" fontId="9" fillId="0" borderId="5" xfId="23" applyNumberFormat="1" applyFont="1" applyAlignment="1">
      <alignment horizontal="center"/>
    </xf>
    <xf numFmtId="0" fontId="9" fillId="0" borderId="5" xfId="23" applyFont="1" applyAlignment="1">
      <alignment horizontal="center" wrapText="1"/>
    </xf>
    <xf numFmtId="191" fontId="9" fillId="0" borderId="5" xfId="0" applyNumberFormat="1" applyFont="1" applyBorder="1" applyAlignment="1">
      <alignment horizontal="left"/>
    </xf>
    <xf numFmtId="0" fontId="9" fillId="0" borderId="5" xfId="24" applyFont="1" applyAlignment="1">
      <alignment horizontal="left"/>
    </xf>
    <xf numFmtId="0" fontId="8" fillId="0" borderId="0" xfId="0" applyFont="1" applyAlignment="1">
      <alignment horizontal="left" vertical="center" wrapText="1" indent="1"/>
    </xf>
    <xf numFmtId="4" fontId="6" fillId="0" borderId="0" xfId="0" applyNumberFormat="1" applyFont="1"/>
    <xf numFmtId="187" fontId="56" fillId="0" borderId="12" xfId="0" quotePrefix="1" applyNumberFormat="1" applyFont="1" applyBorder="1"/>
    <xf numFmtId="40" fontId="6" fillId="0" borderId="0" xfId="0" applyNumberFormat="1" applyFont="1" applyAlignment="1">
      <alignment vertical="top"/>
    </xf>
    <xf numFmtId="40" fontId="36" fillId="0" borderId="12" xfId="2" applyNumberFormat="1" applyFont="1" applyBorder="1"/>
    <xf numFmtId="187" fontId="4" fillId="0" borderId="0" xfId="0" applyNumberFormat="1" applyFont="1"/>
    <xf numFmtId="191" fontId="9" fillId="0" borderId="0" xfId="0" applyNumberFormat="1" applyFont="1"/>
    <xf numFmtId="187" fontId="17" fillId="0" borderId="0" xfId="0" applyNumberFormat="1" applyFont="1" applyAlignment="1">
      <alignment horizontal="left"/>
    </xf>
    <xf numFmtId="191" fontId="17" fillId="0" borderId="0" xfId="0" applyNumberFormat="1" applyFont="1" applyAlignment="1">
      <alignment horizontal="center"/>
    </xf>
    <xf numFmtId="177" fontId="17" fillId="0" borderId="0" xfId="0" applyNumberFormat="1" applyFont="1" applyAlignment="1">
      <alignment horizontal="left"/>
    </xf>
    <xf numFmtId="187" fontId="64" fillId="0" borderId="0" xfId="0" applyNumberFormat="1" applyFont="1"/>
    <xf numFmtId="191" fontId="12" fillId="0" borderId="0" xfId="0" applyNumberFormat="1" applyFont="1" applyAlignment="1">
      <alignment horizontal="center"/>
    </xf>
    <xf numFmtId="187" fontId="12" fillId="0" borderId="0" xfId="0" applyNumberFormat="1" applyFont="1" applyAlignment="1">
      <alignment horizontal="center"/>
    </xf>
    <xf numFmtId="187" fontId="58" fillId="0" borderId="0" xfId="0" applyNumberFormat="1" applyFont="1"/>
    <xf numFmtId="191" fontId="29" fillId="0" borderId="0" xfId="0" applyNumberFormat="1" applyFont="1" applyAlignment="1">
      <alignment horizontal="center"/>
    </xf>
    <xf numFmtId="187" fontId="29" fillId="0" borderId="0" xfId="0" applyNumberFormat="1" applyFont="1" applyAlignment="1">
      <alignment horizontal="center"/>
    </xf>
    <xf numFmtId="187" fontId="58" fillId="0" borderId="0" xfId="0" quotePrefix="1" applyNumberFormat="1" applyFont="1"/>
    <xf numFmtId="0" fontId="4" fillId="0" borderId="5" xfId="22" applyFont="1"/>
    <xf numFmtId="187" fontId="10" fillId="0" borderId="0" xfId="0" quotePrefix="1" applyNumberFormat="1" applyFont="1"/>
    <xf numFmtId="38" fontId="6" fillId="0" borderId="13" xfId="24" applyNumberFormat="1" applyBorder="1" applyAlignment="1">
      <alignment horizontal="right"/>
    </xf>
    <xf numFmtId="38" fontId="4" fillId="0" borderId="13" xfId="24" applyNumberFormat="1" applyFont="1" applyBorder="1" applyAlignment="1">
      <alignment horizontal="right"/>
    </xf>
    <xf numFmtId="0" fontId="0" fillId="0" borderId="0" xfId="0" pivotButton="1"/>
    <xf numFmtId="189" fontId="9" fillId="0" borderId="5" xfId="23" applyNumberFormat="1" applyFont="1"/>
    <xf numFmtId="0" fontId="6" fillId="0" borderId="5" xfId="22"/>
    <xf numFmtId="0" fontId="6" fillId="0" borderId="5" xfId="28"/>
    <xf numFmtId="40" fontId="10" fillId="0" borderId="5" xfId="5" applyFont="1"/>
    <xf numFmtId="40" fontId="10" fillId="0" borderId="5" xfId="5" applyFont="1" applyAlignment="1">
      <alignment horizontal="left"/>
    </xf>
    <xf numFmtId="0" fontId="9" fillId="0" borderId="5" xfId="28" applyFont="1" applyAlignment="1">
      <alignment vertical="center"/>
    </xf>
    <xf numFmtId="49" fontId="47" fillId="0" borderId="15" xfId="29" applyNumberFormat="1" applyBorder="1" applyAlignment="1">
      <alignment horizontal="left" wrapText="1"/>
    </xf>
    <xf numFmtId="0" fontId="12" fillId="0" borderId="15" xfId="5" applyNumberFormat="1" applyFont="1" applyBorder="1" applyAlignment="1">
      <alignment horizontal="center"/>
    </xf>
    <xf numFmtId="0" fontId="9" fillId="0" borderId="5" xfId="28" applyFont="1" applyAlignment="1">
      <alignment horizontal="left" vertical="center"/>
    </xf>
    <xf numFmtId="40" fontId="10" fillId="0" borderId="5" xfId="5" applyFont="1" applyAlignment="1">
      <alignment vertical="center"/>
    </xf>
    <xf numFmtId="0" fontId="10" fillId="0" borderId="5" xfId="28" applyFont="1" applyAlignment="1">
      <alignment vertical="center"/>
    </xf>
    <xf numFmtId="0" fontId="10" fillId="0" borderId="5" xfId="28" applyFont="1" applyAlignment="1">
      <alignment horizontal="left" vertical="center"/>
    </xf>
    <xf numFmtId="0" fontId="9" fillId="0" borderId="5" xfId="28" applyFont="1"/>
    <xf numFmtId="40" fontId="9" fillId="0" borderId="5" xfId="28" applyNumberFormat="1" applyFont="1"/>
    <xf numFmtId="187" fontId="56" fillId="0" borderId="5" xfId="0" applyNumberFormat="1" applyFont="1" applyBorder="1"/>
    <xf numFmtId="187" fontId="4" fillId="0" borderId="0" xfId="0" quotePrefix="1" applyNumberFormat="1" applyFont="1"/>
    <xf numFmtId="1" fontId="0" fillId="0" borderId="5" xfId="22" quotePrefix="1" applyNumberFormat="1" applyFont="1" applyAlignment="1">
      <alignment vertical="center"/>
    </xf>
    <xf numFmtId="191" fontId="0" fillId="0" borderId="0" xfId="0" applyNumberFormat="1"/>
    <xf numFmtId="187" fontId="3" fillId="0" borderId="0" xfId="0" applyNumberFormat="1" applyFont="1"/>
    <xf numFmtId="187" fontId="3" fillId="0" borderId="5" xfId="0" applyNumberFormat="1" applyFont="1" applyBorder="1"/>
    <xf numFmtId="187" fontId="4" fillId="0" borderId="5" xfId="0" quotePrefix="1" applyNumberFormat="1" applyFont="1" applyBorder="1"/>
    <xf numFmtId="191" fontId="0" fillId="0" borderId="5" xfId="0" applyNumberFormat="1" applyBorder="1"/>
    <xf numFmtId="187" fontId="4" fillId="0" borderId="5" xfId="25" applyNumberFormat="1" applyFont="1"/>
    <xf numFmtId="187" fontId="3" fillId="0" borderId="5" xfId="25" applyNumberFormat="1" applyFont="1"/>
    <xf numFmtId="187" fontId="3" fillId="0" borderId="10" xfId="0" applyNumberFormat="1" applyFont="1" applyBorder="1"/>
    <xf numFmtId="187" fontId="4" fillId="0" borderId="12" xfId="0" quotePrefix="1" applyNumberFormat="1" applyFont="1" applyBorder="1"/>
    <xf numFmtId="191" fontId="36" fillId="0" borderId="12" xfId="0" applyNumberFormat="1" applyFont="1" applyBorder="1"/>
    <xf numFmtId="187" fontId="36" fillId="0" borderId="12" xfId="0" applyNumberFormat="1" applyFont="1" applyBorder="1"/>
    <xf numFmtId="187" fontId="4" fillId="0" borderId="10" xfId="0" applyNumberFormat="1" applyFont="1" applyBorder="1"/>
    <xf numFmtId="0" fontId="0" fillId="0" borderId="5" xfId="0" applyBorder="1" applyAlignment="1">
      <alignment horizontal="left"/>
    </xf>
    <xf numFmtId="49" fontId="0" fillId="0" borderId="5" xfId="0" applyNumberFormat="1" applyBorder="1"/>
    <xf numFmtId="187" fontId="3" fillId="0" borderId="10" xfId="25" applyNumberFormat="1" applyFont="1" applyBorder="1"/>
    <xf numFmtId="191" fontId="36" fillId="0" borderId="5" xfId="0" applyNumberFormat="1" applyFont="1" applyBorder="1"/>
    <xf numFmtId="187" fontId="36" fillId="0" borderId="5" xfId="0" applyNumberFormat="1" applyFont="1" applyBorder="1"/>
    <xf numFmtId="0" fontId="33" fillId="0" borderId="5" xfId="4" applyFont="1" applyAlignment="1">
      <alignment horizontal="center" vertical="center" wrapText="1"/>
    </xf>
    <xf numFmtId="0" fontId="3" fillId="6" borderId="5" xfId="4" quotePrefix="1" applyFont="1" applyFill="1" applyAlignment="1">
      <alignment horizontal="center" vertical="center" wrapText="1"/>
    </xf>
    <xf numFmtId="0" fontId="36" fillId="0" borderId="10" xfId="13" applyFont="1" applyBorder="1"/>
    <xf numFmtId="40" fontId="10" fillId="0" borderId="5" xfId="2" applyNumberFormat="1" applyFont="1"/>
    <xf numFmtId="43" fontId="0" fillId="0" borderId="0" xfId="9" applyFont="1"/>
    <xf numFmtId="0" fontId="76" fillId="0" borderId="0" xfId="0" applyFont="1"/>
    <xf numFmtId="0" fontId="75" fillId="0" borderId="5" xfId="22" quotePrefix="1" applyFont="1" applyAlignment="1">
      <alignment horizontal="center"/>
    </xf>
    <xf numFmtId="0" fontId="7" fillId="0" borderId="5" xfId="28" applyFont="1"/>
    <xf numFmtId="0" fontId="7" fillId="0" borderId="5" xfId="28" applyFont="1" applyAlignment="1">
      <alignment horizontal="centerContinuous"/>
    </xf>
    <xf numFmtId="40" fontId="7" fillId="0" borderId="5" xfId="28" applyNumberFormat="1" applyFont="1"/>
    <xf numFmtId="40" fontId="7" fillId="0" borderId="5" xfId="28" applyNumberFormat="1" applyFont="1" applyAlignment="1">
      <alignment horizontal="centerContinuous"/>
    </xf>
    <xf numFmtId="0" fontId="8" fillId="0" borderId="5" xfId="28" applyFont="1"/>
    <xf numFmtId="0" fontId="8" fillId="0" borderId="5" xfId="28" applyFont="1" applyAlignment="1">
      <alignment horizontal="centerContinuous"/>
    </xf>
    <xf numFmtId="0" fontId="8" fillId="0" borderId="22" xfId="28" applyFont="1" applyBorder="1"/>
    <xf numFmtId="0" fontId="17" fillId="0" borderId="22" xfId="28" applyFont="1" applyBorder="1" applyAlignment="1">
      <alignment vertical="center"/>
    </xf>
    <xf numFmtId="0" fontId="36" fillId="0" borderId="5" xfId="13" applyFont="1"/>
    <xf numFmtId="40" fontId="10" fillId="0" borderId="24" xfId="5" applyFont="1" applyFill="1" applyBorder="1" applyAlignment="1">
      <alignment vertical="center"/>
    </xf>
    <xf numFmtId="0" fontId="75" fillId="0" borderId="5" xfId="22" applyFont="1" applyAlignment="1">
      <alignment horizontal="center"/>
    </xf>
    <xf numFmtId="40" fontId="10" fillId="0" borderId="5" xfId="5" applyFont="1" applyFill="1" applyBorder="1" applyAlignment="1">
      <alignment vertical="center"/>
    </xf>
    <xf numFmtId="40" fontId="72" fillId="0" borderId="5" xfId="5" applyFont="1" applyFill="1" applyBorder="1" applyAlignment="1">
      <alignment horizontal="center" vertical="center"/>
    </xf>
    <xf numFmtId="0" fontId="75" fillId="6" borderId="5" xfId="4" applyFont="1" applyFill="1">
      <alignment vertical="center"/>
    </xf>
    <xf numFmtId="0" fontId="36" fillId="0" borderId="5" xfId="13" applyFont="1" applyAlignment="1">
      <alignment horizontal="center"/>
    </xf>
    <xf numFmtId="40" fontId="10" fillId="0" borderId="13" xfId="2" applyNumberFormat="1" applyFont="1" applyBorder="1"/>
    <xf numFmtId="187" fontId="6" fillId="0" borderId="5" xfId="22" applyNumberFormat="1"/>
    <xf numFmtId="40" fontId="59" fillId="0" borderId="5" xfId="30" applyNumberFormat="1" applyAlignment="1">
      <alignment horizontal="center"/>
    </xf>
    <xf numFmtId="0" fontId="36" fillId="0" borderId="5" xfId="31" applyFont="1"/>
    <xf numFmtId="177" fontId="36" fillId="0" borderId="5" xfId="31" applyNumberFormat="1" applyFont="1"/>
    <xf numFmtId="40" fontId="36" fillId="0" borderId="5" xfId="31" applyNumberFormat="1" applyFont="1"/>
    <xf numFmtId="187" fontId="36" fillId="0" borderId="5" xfId="31" applyNumberFormat="1" applyFont="1"/>
    <xf numFmtId="40" fontId="6" fillId="0" borderId="5" xfId="22" applyNumberFormat="1"/>
    <xf numFmtId="40" fontId="6" fillId="0" borderId="5" xfId="9" applyNumberFormat="1" applyFont="1" applyBorder="1"/>
    <xf numFmtId="43" fontId="0" fillId="0" borderId="5" xfId="32" applyFont="1" applyFill="1" applyBorder="1"/>
    <xf numFmtId="43" fontId="6" fillId="0" borderId="5" xfId="32" applyFont="1"/>
    <xf numFmtId="0" fontId="36" fillId="0" borderId="5" xfId="31" applyFont="1" applyAlignment="1">
      <alignment horizontal="left" wrapText="1"/>
    </xf>
    <xf numFmtId="177" fontId="36" fillId="0" borderId="5" xfId="31" applyNumberFormat="1" applyFont="1" applyAlignment="1">
      <alignment horizontal="left"/>
    </xf>
    <xf numFmtId="40" fontId="6" fillId="0" borderId="5" xfId="30" applyNumberFormat="1" applyFont="1"/>
    <xf numFmtId="0" fontId="10" fillId="0" borderId="5" xfId="2" applyFont="1" applyAlignment="1">
      <alignment horizontal="left"/>
    </xf>
    <xf numFmtId="187" fontId="10" fillId="0" borderId="5" xfId="0" applyNumberFormat="1" applyFont="1" applyBorder="1"/>
    <xf numFmtId="49" fontId="6" fillId="0" borderId="0" xfId="0" applyNumberFormat="1" applyFont="1" applyAlignment="1">
      <alignment horizontal="left"/>
    </xf>
    <xf numFmtId="1" fontId="10" fillId="0" borderId="5" xfId="0" applyNumberFormat="1" applyFont="1" applyBorder="1"/>
    <xf numFmtId="191" fontId="56" fillId="0" borderId="5" xfId="0" applyNumberFormat="1" applyFont="1" applyBorder="1"/>
    <xf numFmtId="40" fontId="36" fillId="0" borderId="5" xfId="2" applyNumberFormat="1" applyFont="1"/>
    <xf numFmtId="177" fontId="9" fillId="0" borderId="0" xfId="0" applyNumberFormat="1" applyFont="1" applyAlignment="1">
      <alignment horizontal="left"/>
    </xf>
    <xf numFmtId="40" fontId="3" fillId="0" borderId="5" xfId="23" applyNumberFormat="1" applyFont="1" applyAlignment="1">
      <alignment horizontal="right"/>
    </xf>
    <xf numFmtId="40" fontId="3" fillId="0" borderId="5" xfId="23" applyNumberFormat="1" applyFont="1"/>
    <xf numFmtId="40" fontId="8" fillId="0" borderId="5" xfId="23" applyNumberFormat="1" applyFont="1" applyAlignment="1">
      <alignment horizontal="right"/>
    </xf>
    <xf numFmtId="40" fontId="8" fillId="0" borderId="5" xfId="23" applyNumberFormat="1" applyFont="1"/>
    <xf numFmtId="40" fontId="78" fillId="0" borderId="5" xfId="23" applyNumberFormat="1" applyFont="1" applyAlignment="1">
      <alignment horizontal="right"/>
    </xf>
    <xf numFmtId="40" fontId="79" fillId="0" borderId="5" xfId="24" applyNumberFormat="1" applyFont="1" applyAlignment="1">
      <alignment horizontal="centerContinuous"/>
    </xf>
    <xf numFmtId="40" fontId="6" fillId="0" borderId="5" xfId="24" applyNumberFormat="1" applyAlignment="1">
      <alignment horizontal="right"/>
    </xf>
    <xf numFmtId="1" fontId="8" fillId="0" borderId="5" xfId="24" quotePrefix="1" applyNumberFormat="1" applyFont="1" applyAlignment="1">
      <alignment horizontal="right"/>
    </xf>
    <xf numFmtId="179" fontId="3" fillId="0" borderId="5" xfId="24" quotePrefix="1" applyNumberFormat="1" applyFont="1" applyAlignment="1">
      <alignment horizontal="right"/>
    </xf>
    <xf numFmtId="179" fontId="8" fillId="0" borderId="5" xfId="24" quotePrefix="1" applyNumberFormat="1" applyFont="1" applyAlignment="1">
      <alignment horizontal="right"/>
    </xf>
    <xf numFmtId="40" fontId="8" fillId="0" borderId="26" xfId="24" applyNumberFormat="1" applyFont="1" applyBorder="1" applyAlignment="1">
      <alignment horizontal="centerContinuous"/>
    </xf>
    <xf numFmtId="40" fontId="8" fillId="0" borderId="26" xfId="23" applyNumberFormat="1" applyFont="1" applyBorder="1" applyAlignment="1">
      <alignment horizontal="centerContinuous"/>
    </xf>
    <xf numFmtId="40" fontId="34" fillId="0" borderId="26" xfId="25" applyNumberFormat="1" applyFont="1" applyBorder="1"/>
    <xf numFmtId="0" fontId="8" fillId="0" borderId="26" xfId="24" applyFont="1" applyBorder="1" applyAlignment="1">
      <alignment horizontal="centerContinuous"/>
    </xf>
    <xf numFmtId="40" fontId="6" fillId="0" borderId="26" xfId="24" applyNumberFormat="1" applyBorder="1"/>
    <xf numFmtId="0" fontId="10" fillId="0" borderId="26" xfId="23" applyFont="1" applyBorder="1"/>
    <xf numFmtId="38" fontId="10" fillId="0" borderId="26" xfId="23" applyNumberFormat="1" applyFont="1" applyBorder="1"/>
    <xf numFmtId="166" fontId="10" fillId="0" borderId="26" xfId="23" applyNumberFormat="1" applyFont="1" applyBorder="1" applyAlignment="1">
      <alignment horizontal="right"/>
    </xf>
    <xf numFmtId="0" fontId="10" fillId="0" borderId="31" xfId="23" applyFont="1" applyBorder="1"/>
    <xf numFmtId="0" fontId="17" fillId="0" borderId="5" xfId="23" applyFont="1" applyAlignment="1">
      <alignment horizontal="centerContinuous"/>
    </xf>
    <xf numFmtId="166" fontId="10" fillId="0" borderId="26" xfId="23" applyNumberFormat="1" applyFont="1" applyBorder="1" applyAlignment="1">
      <alignment horizontal="centerContinuous"/>
    </xf>
    <xf numFmtId="40" fontId="80" fillId="0" borderId="5" xfId="24" applyNumberFormat="1" applyFont="1" applyAlignment="1">
      <alignment horizontal="right"/>
    </xf>
    <xf numFmtId="38" fontId="6" fillId="0" borderId="26" xfId="25" applyNumberFormat="1" applyFont="1" applyBorder="1" applyAlignment="1">
      <alignment horizontal="centerContinuous"/>
    </xf>
    <xf numFmtId="40" fontId="6" fillId="0" borderId="26" xfId="25" applyNumberFormat="1" applyFont="1" applyBorder="1" applyAlignment="1">
      <alignment horizontal="centerContinuous"/>
    </xf>
    <xf numFmtId="40" fontId="80" fillId="0" borderId="26" xfId="24" applyNumberFormat="1" applyFont="1" applyBorder="1" applyAlignment="1">
      <alignment horizontal="right"/>
    </xf>
    <xf numFmtId="0" fontId="9" fillId="0" borderId="26" xfId="23" applyFont="1" applyBorder="1"/>
    <xf numFmtId="38" fontId="9" fillId="0" borderId="26" xfId="23" applyNumberFormat="1" applyFont="1" applyBorder="1"/>
    <xf numFmtId="0" fontId="17" fillId="0" borderId="5" xfId="23" applyFont="1"/>
    <xf numFmtId="0" fontId="12" fillId="0" borderId="5" xfId="23" applyFont="1"/>
    <xf numFmtId="0" fontId="82" fillId="0" borderId="5" xfId="23" applyFont="1"/>
    <xf numFmtId="0" fontId="12" fillId="0" borderId="5" xfId="2" applyFont="1" applyAlignment="1">
      <alignment horizontal="left"/>
    </xf>
    <xf numFmtId="38" fontId="6" fillId="0" borderId="5" xfId="23" applyNumberFormat="1"/>
    <xf numFmtId="40" fontId="6" fillId="0" borderId="5" xfId="2" applyNumberFormat="1" applyAlignment="1">
      <alignment horizontal="left"/>
    </xf>
    <xf numFmtId="40" fontId="6" fillId="0" borderId="5" xfId="23" applyNumberFormat="1" applyAlignment="1">
      <alignment horizontal="right"/>
    </xf>
    <xf numFmtId="38" fontId="12" fillId="0" borderId="5" xfId="2" applyNumberFormat="1" applyFont="1" applyAlignment="1">
      <alignment horizontal="left"/>
    </xf>
    <xf numFmtId="0" fontId="12" fillId="0" borderId="5" xfId="23" applyFont="1" applyAlignment="1">
      <alignment wrapText="1"/>
    </xf>
    <xf numFmtId="38" fontId="12" fillId="0" borderId="26" xfId="2" applyNumberFormat="1" applyFont="1" applyBorder="1" applyAlignment="1">
      <alignment horizontal="left"/>
    </xf>
    <xf numFmtId="0" fontId="10" fillId="0" borderId="26" xfId="24" applyFont="1" applyBorder="1"/>
    <xf numFmtId="0" fontId="9" fillId="0" borderId="26" xfId="24" applyFont="1" applyBorder="1"/>
    <xf numFmtId="0" fontId="3" fillId="0" borderId="5" xfId="24" applyFont="1"/>
    <xf numFmtId="38" fontId="10" fillId="0" borderId="26" xfId="2" applyNumberFormat="1" applyFont="1" applyBorder="1" applyAlignment="1">
      <alignment horizontal="left"/>
    </xf>
    <xf numFmtId="38" fontId="9" fillId="0" borderId="31" xfId="23" applyNumberFormat="1" applyFont="1" applyBorder="1"/>
    <xf numFmtId="187" fontId="9" fillId="0" borderId="0" xfId="0" quotePrefix="1" applyNumberFormat="1" applyFont="1" applyAlignment="1">
      <alignment horizontal="left"/>
    </xf>
    <xf numFmtId="49" fontId="8" fillId="0" borderId="0" xfId="0" applyNumberFormat="1" applyFont="1" applyAlignment="1">
      <alignment horizontal="left"/>
    </xf>
    <xf numFmtId="187" fontId="9" fillId="0" borderId="0" xfId="0" quotePrefix="1" applyNumberFormat="1" applyFont="1"/>
    <xf numFmtId="187" fontId="9" fillId="0" borderId="0" xfId="0" quotePrefix="1" applyNumberFormat="1" applyFont="1" applyAlignment="1">
      <alignment horizontal="right"/>
    </xf>
    <xf numFmtId="187" fontId="9" fillId="0" borderId="5" xfId="25" applyNumberFormat="1" applyFont="1" applyAlignment="1">
      <alignment horizontal="left"/>
    </xf>
    <xf numFmtId="187" fontId="9" fillId="0" borderId="5" xfId="0" applyNumberFormat="1" applyFont="1" applyBorder="1" applyAlignment="1">
      <alignment horizontal="left"/>
    </xf>
    <xf numFmtId="187" fontId="10" fillId="0" borderId="5" xfId="0" quotePrefix="1" applyNumberFormat="1" applyFont="1" applyBorder="1"/>
    <xf numFmtId="40" fontId="8" fillId="0" borderId="0" xfId="0" applyNumberFormat="1" applyFont="1" applyAlignment="1">
      <alignment horizontal="center"/>
    </xf>
    <xf numFmtId="40" fontId="8" fillId="0" borderId="5" xfId="0" applyNumberFormat="1" applyFont="1" applyBorder="1" applyAlignment="1">
      <alignment horizontal="center"/>
    </xf>
    <xf numFmtId="0" fontId="83" fillId="0" borderId="5" xfId="0" applyFont="1" applyBorder="1"/>
    <xf numFmtId="38" fontId="10" fillId="0" borderId="31" xfId="15" applyNumberFormat="1" applyFont="1" applyBorder="1"/>
    <xf numFmtId="0" fontId="36" fillId="0" borderId="5" xfId="0" quotePrefix="1" applyFont="1" applyBorder="1"/>
    <xf numFmtId="38" fontId="10" fillId="0" borderId="22" xfId="23" applyNumberFormat="1" applyFont="1" applyBorder="1"/>
    <xf numFmtId="38" fontId="8" fillId="0" borderId="5" xfId="23" applyNumberFormat="1" applyFont="1" applyAlignment="1">
      <alignment horizontal="centerContinuous"/>
    </xf>
    <xf numFmtId="38" fontId="78" fillId="0" borderId="5" xfId="23" applyNumberFormat="1" applyFont="1" applyAlignment="1">
      <alignment horizontal="right"/>
    </xf>
    <xf numFmtId="38" fontId="3" fillId="0" borderId="5" xfId="23" applyNumberFormat="1" applyFont="1" applyAlignment="1">
      <alignment horizontal="right"/>
    </xf>
    <xf numFmtId="38" fontId="8" fillId="0" borderId="26" xfId="24" applyNumberFormat="1" applyFont="1" applyBorder="1" applyAlignment="1">
      <alignment horizontal="centerContinuous"/>
    </xf>
    <xf numFmtId="38" fontId="80" fillId="0" borderId="26" xfId="24" applyNumberFormat="1" applyFont="1" applyBorder="1" applyAlignment="1">
      <alignment horizontal="right"/>
    </xf>
    <xf numFmtId="38" fontId="10" fillId="0" borderId="22" xfId="23" applyNumberFormat="1" applyFont="1" applyBorder="1" applyAlignment="1">
      <alignment horizontal="right"/>
    </xf>
    <xf numFmtId="38" fontId="10" fillId="0" borderId="26" xfId="23" applyNumberFormat="1" applyFont="1" applyBorder="1" applyAlignment="1">
      <alignment horizontal="right"/>
    </xf>
    <xf numFmtId="38" fontId="10" fillId="0" borderId="5" xfId="23" applyNumberFormat="1" applyFont="1" applyAlignment="1">
      <alignment horizontal="centerContinuous"/>
    </xf>
    <xf numFmtId="38" fontId="81" fillId="0" borderId="26" xfId="23" applyNumberFormat="1" applyFont="1" applyBorder="1" applyAlignment="1">
      <alignment horizontal="centerContinuous"/>
    </xf>
    <xf numFmtId="38" fontId="8" fillId="0" borderId="5" xfId="24" applyNumberFormat="1" applyFont="1" applyAlignment="1">
      <alignment horizontal="centerContinuous"/>
    </xf>
    <xf numFmtId="38" fontId="12" fillId="0" borderId="5" xfId="23" applyNumberFormat="1" applyFont="1" applyAlignment="1">
      <alignment horizontal="center"/>
    </xf>
    <xf numFmtId="38" fontId="3" fillId="0" borderId="5" xfId="24" applyNumberFormat="1" applyFont="1" applyAlignment="1">
      <alignment horizontal="centerContinuous"/>
    </xf>
    <xf numFmtId="38" fontId="10" fillId="0" borderId="31" xfId="24" applyNumberFormat="1" applyFont="1" applyBorder="1" applyAlignment="1">
      <alignment horizontal="right"/>
    </xf>
    <xf numFmtId="0" fontId="10" fillId="0" borderId="5" xfId="23" quotePrefix="1" applyFont="1" applyAlignment="1">
      <alignment horizontal="left"/>
    </xf>
    <xf numFmtId="40" fontId="6" fillId="0" borderId="5" xfId="24" quotePrefix="1" applyNumberFormat="1" applyAlignment="1">
      <alignment horizontal="left"/>
    </xf>
    <xf numFmtId="38" fontId="10" fillId="0" borderId="14" xfId="23" applyNumberFormat="1" applyFont="1" applyBorder="1"/>
    <xf numFmtId="40" fontId="8" fillId="0" borderId="5" xfId="24" applyNumberFormat="1" applyFont="1" applyAlignment="1">
      <alignment horizontal="right"/>
    </xf>
    <xf numFmtId="0" fontId="0" fillId="0" borderId="0" xfId="0" quotePrefix="1"/>
    <xf numFmtId="38" fontId="9" fillId="0" borderId="5" xfId="24" applyNumberFormat="1" applyFont="1" applyAlignment="1">
      <alignment horizontal="right"/>
    </xf>
    <xf numFmtId="38" fontId="9" fillId="0" borderId="5" xfId="23" applyNumberFormat="1" applyFont="1" applyAlignment="1">
      <alignment horizontal="right"/>
    </xf>
    <xf numFmtId="40" fontId="9" fillId="0" borderId="5" xfId="24" applyNumberFormat="1" applyFont="1"/>
    <xf numFmtId="40" fontId="74" fillId="0" borderId="5" xfId="7" applyNumberFormat="1" applyFont="1"/>
    <xf numFmtId="177" fontId="74" fillId="0" borderId="5" xfId="6" applyNumberFormat="1" applyFont="1"/>
    <xf numFmtId="177" fontId="74" fillId="0" borderId="15" xfId="6" applyNumberFormat="1" applyFont="1" applyBorder="1" applyAlignment="1">
      <alignment horizontal="left"/>
    </xf>
    <xf numFmtId="40" fontId="7" fillId="0" borderId="5" xfId="2" applyNumberFormat="1" applyFont="1" applyAlignment="1">
      <alignment horizontal="centerContinuous"/>
    </xf>
    <xf numFmtId="40" fontId="56" fillId="0" borderId="5" xfId="38" applyNumberFormat="1" applyFont="1"/>
    <xf numFmtId="40" fontId="56" fillId="0" borderId="5" xfId="39" applyNumberFormat="1" applyFont="1"/>
    <xf numFmtId="40" fontId="84" fillId="0" borderId="5" xfId="39" applyNumberFormat="1"/>
    <xf numFmtId="40" fontId="56" fillId="0" borderId="15" xfId="38" applyNumberFormat="1" applyFont="1" applyBorder="1"/>
    <xf numFmtId="40" fontId="56" fillId="0" borderId="15" xfId="39" applyNumberFormat="1" applyFont="1" applyBorder="1"/>
    <xf numFmtId="40" fontId="85" fillId="0" borderId="5" xfId="39" applyNumberFormat="1" applyFont="1"/>
    <xf numFmtId="0" fontId="87" fillId="0" borderId="5" xfId="41" applyFont="1"/>
    <xf numFmtId="0" fontId="87" fillId="0" borderId="5" xfId="41" applyFont="1" applyAlignment="1">
      <alignment horizontal="center"/>
    </xf>
    <xf numFmtId="0" fontId="88" fillId="0" borderId="5" xfId="41" applyFont="1" applyAlignment="1">
      <alignment horizontal="left"/>
    </xf>
    <xf numFmtId="0" fontId="21" fillId="0" borderId="5" xfId="41" applyFont="1" applyAlignment="1">
      <alignment horizontal="left"/>
    </xf>
    <xf numFmtId="43" fontId="21" fillId="0" borderId="5" xfId="41" applyNumberFormat="1" applyFont="1" applyAlignment="1">
      <alignment horizontal="left"/>
    </xf>
    <xf numFmtId="172" fontId="87" fillId="0" borderId="5" xfId="42" applyNumberFormat="1" applyFont="1"/>
    <xf numFmtId="177" fontId="87" fillId="0" borderId="5" xfId="41" applyNumberFormat="1" applyFont="1"/>
    <xf numFmtId="172" fontId="87" fillId="0" borderId="5" xfId="41" applyNumberFormat="1" applyFont="1"/>
    <xf numFmtId="0" fontId="7" fillId="0" borderId="5" xfId="41" applyFont="1"/>
    <xf numFmtId="43" fontId="87" fillId="0" borderId="5" xfId="14" applyFont="1" applyBorder="1"/>
    <xf numFmtId="1" fontId="21" fillId="5" borderId="5" xfId="41" quotePrefix="1" applyNumberFormat="1" applyFont="1" applyFill="1" applyAlignment="1">
      <alignment horizontal="left"/>
    </xf>
    <xf numFmtId="43" fontId="21" fillId="0" borderId="5" xfId="42" applyFont="1" applyAlignment="1">
      <alignment horizontal="right"/>
    </xf>
    <xf numFmtId="0" fontId="21" fillId="0" borderId="5" xfId="41" applyFont="1" applyAlignment="1">
      <alignment horizontal="center"/>
    </xf>
    <xf numFmtId="43" fontId="21" fillId="0" borderId="5" xfId="42" applyFont="1" applyAlignment="1">
      <alignment horizontal="left"/>
    </xf>
    <xf numFmtId="0" fontId="1" fillId="0" borderId="5" xfId="43"/>
    <xf numFmtId="0" fontId="86" fillId="0" borderId="5" xfId="43" applyFont="1"/>
    <xf numFmtId="0" fontId="87" fillId="0" borderId="5" xfId="41" applyFont="1" applyAlignment="1">
      <alignment horizontal="right"/>
    </xf>
    <xf numFmtId="0" fontId="88" fillId="0" borderId="5" xfId="41" applyFont="1" applyAlignment="1">
      <alignment horizontal="right"/>
    </xf>
    <xf numFmtId="0" fontId="21" fillId="0" borderId="5" xfId="41" applyFont="1"/>
    <xf numFmtId="177" fontId="21" fillId="0" borderId="5" xfId="41" applyNumberFormat="1" applyFont="1"/>
    <xf numFmtId="0" fontId="87" fillId="0" borderId="5" xfId="41" applyFont="1" applyAlignment="1">
      <alignment horizontal="left"/>
    </xf>
    <xf numFmtId="0" fontId="90" fillId="0" borderId="5" xfId="41" quotePrefix="1" applyFont="1" applyAlignment="1">
      <alignment horizontal="left"/>
    </xf>
    <xf numFmtId="0" fontId="6" fillId="0" borderId="5" xfId="41"/>
    <xf numFmtId="0" fontId="34" fillId="0" borderId="5" xfId="41" applyFont="1"/>
    <xf numFmtId="0" fontId="4" fillId="0" borderId="5" xfId="41" applyFont="1"/>
    <xf numFmtId="0" fontId="4" fillId="0" borderId="12" xfId="41" applyFont="1" applyBorder="1"/>
    <xf numFmtId="0" fontId="17" fillId="0" borderId="5" xfId="28" applyFont="1" applyAlignment="1">
      <alignment vertical="center"/>
    </xf>
    <xf numFmtId="0" fontId="91" fillId="0" borderId="32" xfId="0" applyFont="1" applyBorder="1"/>
    <xf numFmtId="0" fontId="91" fillId="0" borderId="33" xfId="0" applyFont="1" applyBorder="1"/>
    <xf numFmtId="0" fontId="86" fillId="0" borderId="5" xfId="39" applyFont="1"/>
    <xf numFmtId="0" fontId="87" fillId="0" borderId="5" xfId="14" applyNumberFormat="1" applyFont="1" applyBorder="1"/>
    <xf numFmtId="0" fontId="8" fillId="0" borderId="5" xfId="28" applyFont="1" applyAlignment="1">
      <alignment horizontal="center"/>
    </xf>
    <xf numFmtId="38" fontId="6" fillId="0" borderId="5" xfId="24" applyNumberFormat="1"/>
    <xf numFmtId="43" fontId="4" fillId="0" borderId="5" xfId="14" applyFont="1" applyAlignment="1">
      <alignment horizontal="right"/>
    </xf>
    <xf numFmtId="192" fontId="3" fillId="0" borderId="5" xfId="22" applyNumberFormat="1" applyFont="1" applyAlignment="1">
      <alignment horizontal="left"/>
    </xf>
    <xf numFmtId="0" fontId="3" fillId="0" borderId="5" xfId="22" applyFont="1" applyAlignment="1">
      <alignment horizontal="center"/>
    </xf>
    <xf numFmtId="177" fontId="3" fillId="0" borderId="5" xfId="22" applyNumberFormat="1" applyFont="1" applyAlignment="1">
      <alignment horizontal="right"/>
    </xf>
    <xf numFmtId="43" fontId="3" fillId="0" borderId="5" xfId="22" applyNumberFormat="1" applyFont="1" applyAlignment="1">
      <alignment horizontal="center"/>
    </xf>
    <xf numFmtId="1" fontId="33" fillId="0" borderId="6" xfId="22" applyNumberFormat="1" applyFont="1" applyBorder="1" applyAlignment="1">
      <alignment horizontal="center"/>
    </xf>
    <xf numFmtId="0" fontId="33" fillId="0" borderId="6" xfId="22" applyFont="1" applyBorder="1" applyAlignment="1">
      <alignment horizontal="center"/>
    </xf>
    <xf numFmtId="43" fontId="33" fillId="0" borderId="6" xfId="22" applyNumberFormat="1" applyFont="1" applyBorder="1" applyAlignment="1">
      <alignment horizontal="center"/>
    </xf>
    <xf numFmtId="177" fontId="6" fillId="0" borderId="5" xfId="22" applyNumberFormat="1"/>
    <xf numFmtId="43" fontId="0" fillId="0" borderId="5" xfId="14" applyFont="1"/>
    <xf numFmtId="0" fontId="6" fillId="0" borderId="5" xfId="22" applyAlignment="1">
      <alignment horizontal="left"/>
    </xf>
    <xf numFmtId="177" fontId="4" fillId="0" borderId="5" xfId="22" applyNumberFormat="1" applyFont="1" applyAlignment="1">
      <alignment horizontal="right"/>
    </xf>
    <xf numFmtId="43" fontId="6" fillId="0" borderId="5" xfId="22" applyNumberFormat="1"/>
    <xf numFmtId="49" fontId="47" fillId="0" borderId="26" xfId="29" applyNumberFormat="1" applyBorder="1" applyAlignment="1">
      <alignment horizontal="left" wrapText="1"/>
    </xf>
    <xf numFmtId="0" fontId="9" fillId="0" borderId="26" xfId="28" applyFont="1" applyBorder="1" applyAlignment="1">
      <alignment vertical="center"/>
    </xf>
    <xf numFmtId="0" fontId="0" fillId="0" borderId="26" xfId="0" applyBorder="1"/>
    <xf numFmtId="0" fontId="12" fillId="0" borderId="26" xfId="5" applyNumberFormat="1" applyFont="1" applyBorder="1" applyAlignment="1">
      <alignment horizontal="center"/>
    </xf>
    <xf numFmtId="0" fontId="10" fillId="0" borderId="26" xfId="28" applyFont="1" applyBorder="1" applyAlignment="1">
      <alignment vertical="center"/>
    </xf>
    <xf numFmtId="0" fontId="10" fillId="0" borderId="26" xfId="28" applyFont="1" applyBorder="1" applyAlignment="1">
      <alignment horizontal="left" vertical="center"/>
    </xf>
    <xf numFmtId="40" fontId="10" fillId="0" borderId="26" xfId="5" applyFont="1" applyFill="1" applyBorder="1" applyAlignment="1">
      <alignment vertical="center"/>
    </xf>
    <xf numFmtId="0" fontId="6" fillId="0" borderId="26" xfId="22" applyBorder="1"/>
    <xf numFmtId="177" fontId="4" fillId="0" borderId="26" xfId="22" applyNumberFormat="1" applyFont="1" applyBorder="1" applyAlignment="1">
      <alignment horizontal="right"/>
    </xf>
    <xf numFmtId="43" fontId="4" fillId="0" borderId="34" xfId="22" applyNumberFormat="1" applyFont="1" applyBorder="1"/>
    <xf numFmtId="0" fontId="6" fillId="0" borderId="5" xfId="0" applyFont="1" applyBorder="1" applyAlignment="1">
      <alignment horizontal="center"/>
    </xf>
    <xf numFmtId="0" fontId="6" fillId="0" borderId="5" xfId="0" applyFont="1" applyBorder="1" applyAlignment="1">
      <alignment horizontal="right"/>
    </xf>
    <xf numFmtId="40" fontId="4" fillId="0" borderId="0" xfId="0" applyNumberFormat="1" applyFont="1" applyAlignment="1">
      <alignment vertical="top"/>
    </xf>
    <xf numFmtId="40" fontId="36" fillId="0" borderId="5" xfId="0" applyNumberFormat="1" applyFont="1" applyBorder="1"/>
    <xf numFmtId="0" fontId="4" fillId="0" borderId="5" xfId="23" applyFont="1" applyAlignment="1">
      <alignment horizontal="left"/>
    </xf>
    <xf numFmtId="191" fontId="0" fillId="0" borderId="0" xfId="0" quotePrefix="1" applyNumberFormat="1" applyAlignment="1">
      <alignment horizontal="left"/>
    </xf>
    <xf numFmtId="0" fontId="92" fillId="9" borderId="5" xfId="16" applyFont="1" applyFill="1" applyBorder="1" applyAlignment="1">
      <alignment readingOrder="1"/>
    </xf>
    <xf numFmtId="0" fontId="6" fillId="0" borderId="5" xfId="13" applyAlignment="1">
      <alignment horizontal="center"/>
    </xf>
    <xf numFmtId="0" fontId="6" fillId="0" borderId="5" xfId="13" applyAlignment="1">
      <alignment wrapText="1"/>
    </xf>
    <xf numFmtId="187" fontId="57" fillId="0" borderId="5" xfId="13" applyNumberFormat="1" applyFont="1" applyAlignment="1">
      <alignment horizontal="center" wrapText="1"/>
    </xf>
    <xf numFmtId="187" fontId="36" fillId="0" borderId="5" xfId="2" applyNumberFormat="1" applyFont="1" applyAlignment="1">
      <alignment horizontal="left" wrapText="1"/>
    </xf>
    <xf numFmtId="40" fontId="4" fillId="0" borderId="5" xfId="13" applyNumberFormat="1" applyFont="1"/>
    <xf numFmtId="44" fontId="6" fillId="0" borderId="5" xfId="15" applyFont="1" applyFill="1" applyBorder="1"/>
    <xf numFmtId="40" fontId="6" fillId="0" borderId="5" xfId="14" applyNumberFormat="1" applyFont="1" applyFill="1" applyBorder="1"/>
    <xf numFmtId="187" fontId="4" fillId="0" borderId="5" xfId="13" applyNumberFormat="1" applyFont="1"/>
    <xf numFmtId="40" fontId="10" fillId="0" borderId="5" xfId="13" applyNumberFormat="1" applyFont="1"/>
    <xf numFmtId="188" fontId="93" fillId="0" borderId="5" xfId="2" quotePrefix="1" applyNumberFormat="1" applyFont="1" applyAlignment="1">
      <alignment horizontal="left"/>
    </xf>
    <xf numFmtId="193" fontId="56" fillId="0" borderId="5" xfId="45" applyNumberFormat="1" applyFont="1" applyAlignment="1">
      <alignment vertical="center"/>
    </xf>
    <xf numFmtId="44" fontId="6" fillId="0" borderId="5" xfId="13" applyNumberFormat="1"/>
    <xf numFmtId="43" fontId="16" fillId="10" borderId="5" xfId="14" applyFont="1" applyFill="1" applyBorder="1"/>
    <xf numFmtId="0" fontId="16" fillId="10" borderId="5" xfId="14" applyNumberFormat="1" applyFont="1" applyFill="1" applyBorder="1"/>
    <xf numFmtId="38" fontId="94" fillId="13" borderId="35" xfId="13" applyNumberFormat="1" applyFont="1" applyFill="1" applyBorder="1" applyAlignment="1">
      <alignment horizontal="center"/>
    </xf>
    <xf numFmtId="1" fontId="57" fillId="8" borderId="37" xfId="13" applyNumberFormat="1" applyFont="1" applyFill="1" applyBorder="1" applyAlignment="1">
      <alignment horizontal="center"/>
    </xf>
    <xf numFmtId="0" fontId="57" fillId="8" borderId="38" xfId="13" applyFont="1" applyFill="1" applyBorder="1" applyAlignment="1">
      <alignment horizontal="center" wrapText="1"/>
    </xf>
    <xf numFmtId="1" fontId="57" fillId="8" borderId="37" xfId="13" applyNumberFormat="1" applyFont="1" applyFill="1" applyBorder="1" applyAlignment="1">
      <alignment horizontal="center" wrapText="1"/>
    </xf>
    <xf numFmtId="0" fontId="57" fillId="8" borderId="39" xfId="13" applyFont="1" applyFill="1" applyBorder="1" applyAlignment="1">
      <alignment horizontal="center" wrapText="1"/>
    </xf>
    <xf numFmtId="40" fontId="57" fillId="8" borderId="38" xfId="13" applyNumberFormat="1" applyFont="1" applyFill="1" applyBorder="1" applyAlignment="1">
      <alignment horizontal="center" wrapText="1"/>
    </xf>
    <xf numFmtId="1" fontId="57" fillId="8" borderId="40" xfId="13" applyNumberFormat="1" applyFont="1" applyFill="1" applyBorder="1" applyAlignment="1">
      <alignment horizontal="center" wrapText="1"/>
    </xf>
    <xf numFmtId="43" fontId="57" fillId="8" borderId="37" xfId="14" applyFont="1" applyFill="1" applyBorder="1" applyAlignment="1">
      <alignment horizontal="center" wrapText="1"/>
    </xf>
    <xf numFmtId="43" fontId="57" fillId="8" borderId="5" xfId="14" applyFont="1" applyFill="1" applyBorder="1" applyAlignment="1">
      <alignment horizontal="center" wrapText="1"/>
    </xf>
    <xf numFmtId="180" fontId="57" fillId="8" borderId="40" xfId="13" applyNumberFormat="1" applyFont="1" applyFill="1" applyBorder="1" applyAlignment="1">
      <alignment horizontal="center" wrapText="1"/>
    </xf>
    <xf numFmtId="180" fontId="57" fillId="8" borderId="37" xfId="13" applyNumberFormat="1" applyFont="1" applyFill="1" applyBorder="1" applyAlignment="1">
      <alignment horizontal="center"/>
    </xf>
    <xf numFmtId="0" fontId="57" fillId="8" borderId="5" xfId="14" applyNumberFormat="1" applyFont="1" applyFill="1" applyBorder="1" applyAlignment="1">
      <alignment horizontal="center" wrapText="1"/>
    </xf>
    <xf numFmtId="187" fontId="57" fillId="8" borderId="5" xfId="14" applyNumberFormat="1" applyFont="1" applyFill="1" applyBorder="1" applyAlignment="1">
      <alignment horizontal="center" wrapText="1"/>
    </xf>
    <xf numFmtId="43" fontId="57" fillId="8" borderId="40" xfId="13" applyNumberFormat="1" applyFont="1" applyFill="1" applyBorder="1" applyAlignment="1">
      <alignment horizontal="center" wrapText="1"/>
    </xf>
    <xf numFmtId="0" fontId="33" fillId="4" borderId="12" xfId="13" applyFont="1" applyFill="1" applyBorder="1"/>
    <xf numFmtId="1" fontId="10" fillId="0" borderId="37" xfId="13" applyNumberFormat="1" applyFont="1" applyBorder="1" applyAlignment="1">
      <alignment horizontal="center"/>
    </xf>
    <xf numFmtId="0" fontId="82" fillId="0" borderId="5" xfId="13" applyFont="1" applyAlignment="1">
      <alignment horizontal="center"/>
    </xf>
    <xf numFmtId="0" fontId="56" fillId="0" borderId="41" xfId="45" applyFont="1" applyBorder="1"/>
    <xf numFmtId="178" fontId="6" fillId="0" borderId="5" xfId="45" applyNumberFormat="1"/>
    <xf numFmtId="0" fontId="56" fillId="0" borderId="5" xfId="45" applyFont="1"/>
    <xf numFmtId="172" fontId="9" fillId="0" borderId="5" xfId="13" applyNumberFormat="1" applyFont="1"/>
    <xf numFmtId="1" fontId="12" fillId="0" borderId="37" xfId="13" applyNumberFormat="1" applyFont="1" applyBorder="1" applyAlignment="1">
      <alignment horizontal="center"/>
    </xf>
    <xf numFmtId="44" fontId="9" fillId="0" borderId="5" xfId="13" applyNumberFormat="1" applyFont="1"/>
    <xf numFmtId="0" fontId="12" fillId="0" borderId="37" xfId="13" applyFont="1" applyBorder="1" applyAlignment="1">
      <alignment horizontal="center"/>
    </xf>
    <xf numFmtId="0" fontId="17" fillId="0" borderId="5" xfId="13" applyFont="1"/>
    <xf numFmtId="40" fontId="10" fillId="0" borderId="12" xfId="13" applyNumberFormat="1" applyFont="1" applyBorder="1"/>
    <xf numFmtId="40" fontId="10" fillId="0" borderId="17" xfId="13" applyNumberFormat="1" applyFont="1" applyBorder="1"/>
    <xf numFmtId="194" fontId="9" fillId="0" borderId="5" xfId="13" applyNumberFormat="1" applyFont="1"/>
    <xf numFmtId="0" fontId="82" fillId="0" borderId="26" xfId="13" applyFont="1" applyBorder="1" applyAlignment="1">
      <alignment horizontal="center"/>
    </xf>
    <xf numFmtId="0" fontId="6" fillId="0" borderId="26" xfId="13" applyBorder="1"/>
    <xf numFmtId="173" fontId="9" fillId="0" borderId="26" xfId="13" applyNumberFormat="1" applyFont="1" applyBorder="1"/>
    <xf numFmtId="188" fontId="62" fillId="0" borderId="26" xfId="13" applyNumberFormat="1" applyFont="1" applyBorder="1" applyAlignment="1">
      <alignment horizontal="right"/>
    </xf>
    <xf numFmtId="0" fontId="62" fillId="0" borderId="26" xfId="13" applyFont="1" applyBorder="1"/>
    <xf numFmtId="187" fontId="62" fillId="0" borderId="26" xfId="13" applyNumberFormat="1" applyFont="1" applyBorder="1" applyAlignment="1">
      <alignment horizontal="right"/>
    </xf>
    <xf numFmtId="0" fontId="56" fillId="0" borderId="42" xfId="45" applyFont="1" applyBorder="1"/>
    <xf numFmtId="0" fontId="6" fillId="0" borderId="37" xfId="13" applyBorder="1"/>
    <xf numFmtId="0" fontId="6" fillId="0" borderId="40" xfId="13" applyBorder="1"/>
    <xf numFmtId="43" fontId="6" fillId="0" borderId="5" xfId="14" applyFont="1" applyFill="1" applyBorder="1"/>
    <xf numFmtId="0" fontId="6" fillId="0" borderId="5" xfId="14" applyNumberFormat="1" applyFont="1" applyFill="1" applyBorder="1"/>
    <xf numFmtId="187" fontId="6" fillId="0" borderId="5" xfId="14" applyNumberFormat="1" applyFont="1" applyFill="1" applyBorder="1"/>
    <xf numFmtId="38" fontId="10" fillId="0" borderId="5" xfId="13" applyNumberFormat="1" applyFont="1"/>
    <xf numFmtId="43" fontId="10" fillId="0" borderId="5" xfId="14" applyFont="1" applyFill="1" applyBorder="1"/>
    <xf numFmtId="0" fontId="11" fillId="0" borderId="5" xfId="14" applyNumberFormat="1" applyFont="1" applyFill="1" applyBorder="1"/>
    <xf numFmtId="187" fontId="11" fillId="0" borderId="5" xfId="14" applyNumberFormat="1" applyFont="1" applyFill="1" applyBorder="1"/>
    <xf numFmtId="43" fontId="11" fillId="0" borderId="5" xfId="14" applyFont="1" applyFill="1" applyBorder="1"/>
    <xf numFmtId="187" fontId="11" fillId="0" borderId="5" xfId="14" applyNumberFormat="1" applyFont="1" applyFill="1" applyBorder="1" applyAlignment="1">
      <alignment horizontal="center"/>
    </xf>
    <xf numFmtId="38" fontId="9" fillId="0" borderId="5" xfId="13" applyNumberFormat="1" applyFont="1"/>
    <xf numFmtId="43" fontId="9" fillId="0" borderId="5" xfId="14" applyFont="1" applyFill="1" applyBorder="1"/>
    <xf numFmtId="38" fontId="10" fillId="10" borderId="5" xfId="13" applyNumberFormat="1" applyFont="1" applyFill="1"/>
    <xf numFmtId="43" fontId="10" fillId="10" borderId="5" xfId="14" applyFont="1" applyFill="1" applyBorder="1"/>
    <xf numFmtId="0" fontId="11" fillId="10" borderId="5" xfId="14" applyNumberFormat="1" applyFont="1" applyFill="1" applyBorder="1"/>
    <xf numFmtId="43" fontId="11" fillId="10" borderId="5" xfId="14" applyFont="1" applyFill="1" applyBorder="1"/>
    <xf numFmtId="187" fontId="11" fillId="10" borderId="5" xfId="14" applyNumberFormat="1" applyFont="1" applyFill="1" applyBorder="1"/>
    <xf numFmtId="43" fontId="6" fillId="0" borderId="5" xfId="14" applyFont="1" applyBorder="1"/>
    <xf numFmtId="0" fontId="6" fillId="0" borderId="5" xfId="14" applyNumberFormat="1" applyFont="1" applyBorder="1"/>
    <xf numFmtId="187" fontId="10" fillId="0" borderId="12" xfId="0" quotePrefix="1" applyNumberFormat="1" applyFont="1" applyBorder="1"/>
    <xf numFmtId="1" fontId="10" fillId="0" borderId="12" xfId="22" quotePrefix="1" applyNumberFormat="1" applyFont="1" applyBorder="1" applyAlignment="1">
      <alignment vertical="center"/>
    </xf>
    <xf numFmtId="187" fontId="10" fillId="0" borderId="5" xfId="22" applyNumberFormat="1" applyFont="1"/>
    <xf numFmtId="191" fontId="56" fillId="0" borderId="12" xfId="0" applyNumberFormat="1" applyFont="1" applyBorder="1"/>
    <xf numFmtId="187" fontId="56" fillId="0" borderId="12" xfId="0" applyNumberFormat="1" applyFont="1" applyBorder="1"/>
    <xf numFmtId="187" fontId="56" fillId="0" borderId="5" xfId="2" applyNumberFormat="1" applyFont="1"/>
    <xf numFmtId="187" fontId="9" fillId="0" borderId="5" xfId="22" applyNumberFormat="1" applyFont="1"/>
    <xf numFmtId="184" fontId="6" fillId="0" borderId="5" xfId="22" applyNumberFormat="1"/>
    <xf numFmtId="187" fontId="95" fillId="0" borderId="5" xfId="22" applyNumberFormat="1" applyFont="1" applyAlignment="1">
      <alignment horizontal="left"/>
    </xf>
    <xf numFmtId="0" fontId="9" fillId="0" borderId="5" xfId="22" applyFont="1"/>
    <xf numFmtId="0" fontId="17" fillId="0" borderId="15" xfId="22" applyFont="1" applyBorder="1" applyAlignment="1">
      <alignment horizontal="center"/>
    </xf>
    <xf numFmtId="184" fontId="9" fillId="0" borderId="5" xfId="22" applyNumberFormat="1" applyFont="1"/>
    <xf numFmtId="187" fontId="96" fillId="0" borderId="5" xfId="16" applyNumberFormat="1" applyFont="1" applyFill="1" applyBorder="1"/>
    <xf numFmtId="187" fontId="30" fillId="0" borderId="5" xfId="16" applyNumberFormat="1" applyFill="1" applyBorder="1"/>
    <xf numFmtId="195" fontId="6" fillId="0" borderId="5" xfId="13" applyNumberFormat="1"/>
    <xf numFmtId="6" fontId="6" fillId="0" borderId="5" xfId="13" applyNumberFormat="1"/>
    <xf numFmtId="6" fontId="6" fillId="0" borderId="14" xfId="13" applyNumberFormat="1" applyBorder="1"/>
    <xf numFmtId="172" fontId="89" fillId="0" borderId="0" xfId="0" applyNumberFormat="1" applyFont="1"/>
    <xf numFmtId="40" fontId="7" fillId="0" borderId="5" xfId="2" applyNumberFormat="1" applyFont="1" applyAlignment="1">
      <alignment horizontal="left"/>
    </xf>
    <xf numFmtId="186" fontId="17" fillId="0" borderId="0" xfId="0" applyNumberFormat="1" applyFont="1" applyAlignment="1">
      <alignment horizontal="left"/>
    </xf>
    <xf numFmtId="0" fontId="8" fillId="0" borderId="26" xfId="0" applyFont="1" applyBorder="1" applyAlignment="1">
      <alignment horizontal="center"/>
    </xf>
    <xf numFmtId="10" fontId="6" fillId="0" borderId="5" xfId="22" applyNumberFormat="1"/>
    <xf numFmtId="0" fontId="6" fillId="0" borderId="5" xfId="22" applyAlignment="1">
      <alignment wrapText="1"/>
    </xf>
    <xf numFmtId="0" fontId="8" fillId="0" borderId="26" xfId="22" applyFont="1" applyBorder="1" applyAlignment="1">
      <alignment wrapText="1"/>
    </xf>
    <xf numFmtId="0" fontId="8" fillId="0" borderId="26" xfId="22" applyFont="1" applyBorder="1"/>
    <xf numFmtId="43" fontId="6" fillId="0" borderId="5" xfId="9" applyFont="1" applyBorder="1"/>
    <xf numFmtId="0" fontId="6" fillId="0" borderId="28" xfId="22" quotePrefix="1" applyBorder="1"/>
    <xf numFmtId="0" fontId="6" fillId="0" borderId="5" xfId="22" quotePrefix="1"/>
    <xf numFmtId="0" fontId="6" fillId="0" borderId="5" xfId="22" quotePrefix="1" applyAlignment="1">
      <alignment horizontal="right"/>
    </xf>
    <xf numFmtId="43" fontId="6" fillId="0" borderId="14" xfId="9" applyFont="1" applyBorder="1"/>
    <xf numFmtId="43" fontId="6" fillId="0" borderId="14" xfId="22" applyNumberFormat="1" applyBorder="1"/>
    <xf numFmtId="40" fontId="10" fillId="0" borderId="14" xfId="5" applyFont="1" applyFill="1" applyBorder="1" applyAlignment="1">
      <alignment vertical="center"/>
    </xf>
    <xf numFmtId="0" fontId="10" fillId="0" borderId="5" xfId="2" applyFont="1" applyAlignment="1">
      <alignment horizontal="left" wrapText="1"/>
    </xf>
    <xf numFmtId="40" fontId="10" fillId="0" borderId="5" xfId="5" applyFont="1" applyFill="1" applyAlignment="1">
      <alignment vertical="center"/>
    </xf>
    <xf numFmtId="40" fontId="8" fillId="0" borderId="5" xfId="24" applyNumberFormat="1" applyFont="1" applyAlignment="1">
      <alignment horizontal="center"/>
    </xf>
    <xf numFmtId="0" fontId="97" fillId="0" borderId="0" xfId="0" applyFont="1"/>
    <xf numFmtId="0" fontId="6" fillId="0" borderId="5" xfId="41" quotePrefix="1"/>
    <xf numFmtId="187" fontId="10" fillId="0" borderId="12" xfId="0" applyNumberFormat="1" applyFont="1" applyBorder="1"/>
    <xf numFmtId="187" fontId="10" fillId="5" borderId="12" xfId="0" applyNumberFormat="1" applyFont="1" applyFill="1" applyBorder="1"/>
    <xf numFmtId="187" fontId="10" fillId="5" borderId="10" xfId="0" quotePrefix="1" applyNumberFormat="1" applyFont="1" applyFill="1" applyBorder="1"/>
    <xf numFmtId="187" fontId="56" fillId="0" borderId="10" xfId="0" quotePrefix="1" applyNumberFormat="1" applyFont="1" applyBorder="1" applyAlignment="1">
      <alignment horizontal="left"/>
    </xf>
    <xf numFmtId="187" fontId="56" fillId="0" borderId="12" xfId="0" applyNumberFormat="1" applyFont="1" applyBorder="1" applyAlignment="1">
      <alignment horizontal="left"/>
    </xf>
    <xf numFmtId="187" fontId="56" fillId="5" borderId="12" xfId="0" applyNumberFormat="1" applyFont="1" applyFill="1" applyBorder="1" applyAlignment="1">
      <alignment horizontal="left"/>
    </xf>
    <xf numFmtId="187" fontId="10" fillId="0" borderId="10" xfId="0" quotePrefix="1" applyNumberFormat="1" applyFont="1" applyBorder="1"/>
    <xf numFmtId="187" fontId="10" fillId="0" borderId="5" xfId="25" quotePrefix="1" applyNumberFormat="1" applyFont="1"/>
    <xf numFmtId="187" fontId="9" fillId="0" borderId="5" xfId="0" quotePrefix="1" applyNumberFormat="1" applyFont="1" applyBorder="1" applyAlignment="1">
      <alignment horizontal="left"/>
    </xf>
    <xf numFmtId="0" fontId="36" fillId="0" borderId="10" xfId="22" applyFont="1" applyBorder="1"/>
    <xf numFmtId="0" fontId="36" fillId="0" borderId="12" xfId="22" applyFont="1" applyBorder="1"/>
    <xf numFmtId="0" fontId="36" fillId="5" borderId="10" xfId="22" applyFont="1" applyFill="1" applyBorder="1"/>
    <xf numFmtId="0" fontId="36" fillId="5" borderId="12" xfId="22" applyFont="1" applyFill="1" applyBorder="1"/>
    <xf numFmtId="191" fontId="6" fillId="0" borderId="0" xfId="0" applyNumberFormat="1" applyFont="1"/>
    <xf numFmtId="191" fontId="36" fillId="0" borderId="12" xfId="0" quotePrefix="1" applyNumberFormat="1" applyFont="1" applyBorder="1"/>
    <xf numFmtId="187" fontId="56" fillId="5" borderId="10" xfId="0" quotePrefix="1" applyNumberFormat="1" applyFont="1" applyFill="1" applyBorder="1" applyAlignment="1">
      <alignment horizontal="left"/>
    </xf>
    <xf numFmtId="0" fontId="36" fillId="0" borderId="12" xfId="0" applyFont="1" applyBorder="1" applyAlignment="1">
      <alignment horizontal="left"/>
    </xf>
    <xf numFmtId="0" fontId="36" fillId="0" borderId="12" xfId="0" applyFont="1" applyBorder="1"/>
    <xf numFmtId="0" fontId="36" fillId="0" borderId="10" xfId="0" applyFont="1" applyBorder="1" applyAlignment="1">
      <alignment horizontal="left"/>
    </xf>
    <xf numFmtId="191" fontId="9" fillId="0" borderId="0" xfId="0" applyNumberFormat="1" applyFont="1" applyAlignment="1">
      <alignment horizontal="left"/>
    </xf>
    <xf numFmtId="40" fontId="6" fillId="0" borderId="5" xfId="28" applyNumberFormat="1"/>
    <xf numFmtId="0" fontId="75" fillId="0" borderId="0" xfId="0" applyFont="1"/>
    <xf numFmtId="0" fontId="7" fillId="0" borderId="5" xfId="28" applyFont="1" applyAlignment="1">
      <alignment horizontal="center"/>
    </xf>
    <xf numFmtId="40" fontId="7" fillId="0" borderId="5" xfId="28" applyNumberFormat="1" applyFont="1" applyAlignment="1">
      <alignment horizontal="center"/>
    </xf>
    <xf numFmtId="177" fontId="6" fillId="0" borderId="26" xfId="22" applyNumberFormat="1" applyBorder="1"/>
    <xf numFmtId="0" fontId="8" fillId="0" borderId="5" xfId="22" applyFont="1"/>
    <xf numFmtId="1" fontId="6" fillId="0" borderId="5" xfId="22" quotePrefix="1" applyNumberFormat="1" applyAlignment="1">
      <alignment vertical="center"/>
    </xf>
    <xf numFmtId="0" fontId="102" fillId="15" borderId="5" xfId="2" applyFont="1" applyFill="1" applyAlignment="1">
      <alignment horizontal="center"/>
    </xf>
    <xf numFmtId="0" fontId="102" fillId="15" borderId="5" xfId="2" applyFont="1" applyFill="1"/>
    <xf numFmtId="0" fontId="101" fillId="15" borderId="5" xfId="2" applyFont="1" applyFill="1"/>
    <xf numFmtId="9" fontId="9" fillId="0" borderId="5" xfId="18" applyFont="1" applyBorder="1" applyAlignment="1">
      <alignment horizontal="right"/>
    </xf>
    <xf numFmtId="9" fontId="56" fillId="0" borderId="5" xfId="18" applyFont="1" applyFill="1" applyBorder="1" applyAlignment="1">
      <alignment horizontal="right"/>
    </xf>
    <xf numFmtId="0" fontId="57" fillId="4" borderId="51" xfId="2" applyFont="1" applyFill="1" applyBorder="1" applyAlignment="1">
      <alignment horizontal="center" wrapText="1"/>
    </xf>
    <xf numFmtId="0" fontId="57" fillId="4" borderId="5" xfId="2" applyFont="1" applyFill="1" applyAlignment="1">
      <alignment horizontal="center"/>
    </xf>
    <xf numFmtId="189" fontId="57" fillId="4" borderId="5" xfId="2" applyNumberFormat="1" applyFont="1" applyFill="1" applyAlignment="1">
      <alignment horizontal="center"/>
    </xf>
    <xf numFmtId="0" fontId="57" fillId="4" borderId="5" xfId="2" applyFont="1" applyFill="1" applyAlignment="1">
      <alignment horizontal="center" wrapText="1"/>
    </xf>
    <xf numFmtId="9" fontId="57" fillId="4" borderId="50" xfId="18" applyFont="1" applyFill="1" applyBorder="1" applyAlignment="1">
      <alignment horizontal="center"/>
    </xf>
    <xf numFmtId="0" fontId="103" fillId="0" borderId="5" xfId="2" applyFont="1"/>
    <xf numFmtId="189" fontId="9" fillId="0" borderId="5" xfId="2" applyNumberFormat="1" applyFont="1"/>
    <xf numFmtId="1" fontId="9" fillId="0" borderId="5" xfId="2" applyNumberFormat="1" applyFont="1"/>
    <xf numFmtId="38" fontId="9" fillId="0" borderId="5" xfId="2" applyNumberFormat="1" applyFont="1"/>
    <xf numFmtId="38" fontId="6" fillId="0" borderId="5" xfId="22" applyNumberFormat="1"/>
    <xf numFmtId="9" fontId="56" fillId="0" borderId="24" xfId="18" applyFont="1" applyFill="1" applyBorder="1" applyAlignment="1">
      <alignment horizontal="right"/>
    </xf>
    <xf numFmtId="178" fontId="6" fillId="0" borderId="5" xfId="22" applyNumberFormat="1"/>
    <xf numFmtId="178" fontId="10" fillId="0" borderId="5" xfId="2" applyNumberFormat="1" applyFont="1"/>
    <xf numFmtId="178" fontId="10" fillId="0" borderId="14" xfId="5" applyNumberFormat="1" applyFont="1" applyFill="1" applyBorder="1" applyAlignment="1">
      <alignment vertical="center"/>
    </xf>
    <xf numFmtId="0" fontId="3" fillId="0" borderId="5" xfId="4" quotePrefix="1" applyFont="1">
      <alignment vertical="center"/>
    </xf>
    <xf numFmtId="0" fontId="34" fillId="0" borderId="5" xfId="4" applyFont="1">
      <alignment vertical="center"/>
    </xf>
    <xf numFmtId="0" fontId="75" fillId="0" borderId="5" xfId="4" applyFont="1">
      <alignment vertical="center"/>
    </xf>
    <xf numFmtId="10" fontId="6" fillId="0" borderId="5" xfId="22" applyNumberFormat="1" applyAlignment="1">
      <alignment wrapText="1"/>
    </xf>
    <xf numFmtId="0" fontId="6" fillId="0" borderId="5" xfId="22" applyAlignment="1">
      <alignment horizontal="left" vertical="center" wrapText="1"/>
    </xf>
    <xf numFmtId="0" fontId="6" fillId="0" borderId="5" xfId="0" quotePrefix="1" applyFont="1" applyBorder="1"/>
    <xf numFmtId="1" fontId="10" fillId="0" borderId="5" xfId="23" applyNumberFormat="1" applyFont="1" applyAlignment="1">
      <alignment horizontal="right"/>
    </xf>
    <xf numFmtId="1" fontId="6" fillId="0" borderId="5" xfId="24" applyNumberFormat="1"/>
    <xf numFmtId="0" fontId="12" fillId="0" borderId="26" xfId="13" applyFont="1" applyBorder="1" applyAlignment="1">
      <alignment horizontal="center"/>
    </xf>
    <xf numFmtId="1" fontId="57" fillId="4" borderId="53" xfId="2" applyNumberFormat="1" applyFont="1" applyFill="1" applyBorder="1" applyAlignment="1">
      <alignment horizontal="center" wrapText="1"/>
    </xf>
    <xf numFmtId="0" fontId="57" fillId="4" borderId="54" xfId="2" applyFont="1" applyFill="1" applyBorder="1" applyAlignment="1">
      <alignment horizontal="center"/>
    </xf>
    <xf numFmtId="40" fontId="6" fillId="0" borderId="54" xfId="22" applyNumberFormat="1" applyBorder="1"/>
    <xf numFmtId="40" fontId="6" fillId="0" borderId="54" xfId="22" applyNumberFormat="1" applyBorder="1" applyAlignment="1">
      <alignment wrapText="1"/>
    </xf>
    <xf numFmtId="40" fontId="33" fillId="4" borderId="55" xfId="22" applyNumberFormat="1" applyFont="1" applyFill="1" applyBorder="1" applyAlignment="1">
      <alignment wrapText="1"/>
    </xf>
    <xf numFmtId="40" fontId="36" fillId="5" borderId="12" xfId="22" applyNumberFormat="1" applyFont="1" applyFill="1" applyBorder="1"/>
    <xf numFmtId="178" fontId="6" fillId="0" borderId="14" xfId="22" applyNumberFormat="1" applyBorder="1"/>
    <xf numFmtId="10" fontId="10" fillId="0" borderId="5" xfId="23" applyNumberFormat="1" applyFont="1"/>
    <xf numFmtId="38" fontId="10" fillId="0" borderId="26" xfId="15" applyNumberFormat="1" applyFont="1" applyBorder="1"/>
    <xf numFmtId="38" fontId="6" fillId="0" borderId="26" xfId="24" applyNumberFormat="1" applyBorder="1"/>
    <xf numFmtId="40" fontId="6" fillId="0" borderId="26" xfId="25" applyNumberFormat="1" applyFont="1" applyBorder="1"/>
    <xf numFmtId="38" fontId="6" fillId="0" borderId="5" xfId="23" applyNumberFormat="1" applyAlignment="1">
      <alignment horizontal="right"/>
    </xf>
    <xf numFmtId="40" fontId="6" fillId="0" borderId="5" xfId="23" applyNumberFormat="1" applyAlignment="1">
      <alignment horizontal="centerContinuous"/>
    </xf>
    <xf numFmtId="40" fontId="6" fillId="0" borderId="5" xfId="24" applyNumberFormat="1" applyAlignment="1">
      <alignment horizontal="centerContinuous"/>
    </xf>
    <xf numFmtId="40" fontId="6" fillId="0" borderId="26" xfId="24" applyNumberFormat="1" applyBorder="1" applyAlignment="1">
      <alignment horizontal="centerContinuous"/>
    </xf>
    <xf numFmtId="0" fontId="104" fillId="0" borderId="0" xfId="0" applyFont="1"/>
    <xf numFmtId="0" fontId="105" fillId="0" borderId="0" xfId="0" applyFont="1" applyAlignment="1">
      <alignment vertical="center"/>
    </xf>
    <xf numFmtId="0" fontId="106" fillId="0" borderId="0" xfId="0" applyFont="1" applyAlignment="1">
      <alignment vertical="center"/>
    </xf>
    <xf numFmtId="0" fontId="0" fillId="0" borderId="0" xfId="0" applyAlignment="1">
      <alignment horizontal="left" vertical="center" indent="1"/>
    </xf>
    <xf numFmtId="0" fontId="8" fillId="0" borderId="0" xfId="0" applyFont="1" applyAlignment="1">
      <alignment horizontal="left" vertical="center" indent="1"/>
    </xf>
    <xf numFmtId="0" fontId="6" fillId="0" borderId="0" xfId="0" applyFont="1" applyAlignment="1">
      <alignment horizontal="left" vertical="center" indent="2"/>
    </xf>
    <xf numFmtId="0" fontId="8" fillId="0" borderId="0" xfId="0" applyFont="1" applyAlignment="1">
      <alignment horizontal="left" vertical="center" indent="2"/>
    </xf>
    <xf numFmtId="40" fontId="12" fillId="0" borderId="5" xfId="27" applyNumberFormat="1" applyFont="1" applyAlignment="1"/>
    <xf numFmtId="40" fontId="17" fillId="0" borderId="5" xfId="27" applyNumberFormat="1" applyFont="1" applyAlignment="1"/>
    <xf numFmtId="40" fontId="17" fillId="0" borderId="5" xfId="27" applyNumberFormat="1" applyFont="1" applyBorder="1" applyAlignment="1"/>
    <xf numFmtId="40" fontId="36" fillId="0" borderId="18" xfId="2" applyNumberFormat="1" applyFont="1" applyBorder="1"/>
    <xf numFmtId="40" fontId="36" fillId="0" borderId="17" xfId="2" applyNumberFormat="1" applyFont="1" applyBorder="1"/>
    <xf numFmtId="4" fontId="0" fillId="0" borderId="0" xfId="0" applyNumberFormat="1"/>
    <xf numFmtId="0" fontId="56" fillId="0" borderId="12" xfId="13" applyFont="1" applyBorder="1" applyAlignment="1">
      <alignment horizontal="right"/>
    </xf>
    <xf numFmtId="22" fontId="0" fillId="0" borderId="0" xfId="0" applyNumberFormat="1"/>
    <xf numFmtId="49" fontId="0" fillId="0" borderId="0" xfId="0" applyNumberFormat="1"/>
    <xf numFmtId="49" fontId="0" fillId="0" borderId="0" xfId="0" quotePrefix="1" applyNumberFormat="1"/>
    <xf numFmtId="0" fontId="34" fillId="16" borderId="0" xfId="0" applyFont="1" applyFill="1"/>
    <xf numFmtId="0" fontId="34" fillId="17" borderId="0" xfId="0" applyFont="1" applyFill="1"/>
    <xf numFmtId="0" fontId="34" fillId="18" borderId="0" xfId="0" applyFont="1" applyFill="1"/>
    <xf numFmtId="0" fontId="4" fillId="19" borderId="0" xfId="0" applyFont="1" applyFill="1"/>
    <xf numFmtId="0" fontId="4" fillId="20" borderId="0" xfId="0" applyFont="1" applyFill="1"/>
    <xf numFmtId="0" fontId="34" fillId="21" borderId="0" xfId="0" applyFont="1" applyFill="1"/>
    <xf numFmtId="0" fontId="34" fillId="8" borderId="0" xfId="0" applyFont="1" applyFill="1"/>
    <xf numFmtId="43" fontId="6" fillId="0" borderId="5" xfId="14" applyFont="1"/>
    <xf numFmtId="0" fontId="6" fillId="0" borderId="0" xfId="0" applyFont="1" applyProtection="1">
      <protection locked="0"/>
    </xf>
    <xf numFmtId="0" fontId="0" fillId="0" borderId="0" xfId="0" applyProtection="1">
      <protection locked="0"/>
    </xf>
    <xf numFmtId="0" fontId="0" fillId="0" borderId="0" xfId="0" applyAlignment="1" applyProtection="1">
      <alignment horizontal="center"/>
      <protection locked="0"/>
    </xf>
    <xf numFmtId="174" fontId="4" fillId="0" borderId="0" xfId="0" applyNumberFormat="1" applyFont="1" applyAlignment="1" applyProtection="1">
      <alignment horizontal="center"/>
      <protection locked="0"/>
    </xf>
    <xf numFmtId="0" fontId="4" fillId="0" borderId="0" xfId="0" applyFont="1" applyProtection="1">
      <protection locked="0"/>
    </xf>
    <xf numFmtId="40" fontId="4" fillId="0" borderId="0" xfId="0" applyNumberFormat="1" applyFont="1" applyAlignment="1" applyProtection="1">
      <alignment horizontal="right"/>
      <protection locked="0"/>
    </xf>
    <xf numFmtId="0" fontId="32" fillId="4" borderId="5" xfId="0" applyFont="1" applyFill="1" applyBorder="1" applyAlignment="1" applyProtection="1">
      <alignment horizontal="center" wrapText="1"/>
      <protection locked="0"/>
    </xf>
    <xf numFmtId="0" fontId="32" fillId="4" borderId="6" xfId="0" applyFont="1" applyFill="1" applyBorder="1" applyAlignment="1" applyProtection="1">
      <alignment horizontal="center" wrapText="1"/>
      <protection locked="0"/>
    </xf>
    <xf numFmtId="170" fontId="32" fillId="4" borderId="6" xfId="0" applyNumberFormat="1" applyFont="1" applyFill="1" applyBorder="1" applyAlignment="1" applyProtection="1">
      <alignment horizontal="center"/>
      <protection locked="0"/>
    </xf>
    <xf numFmtId="2" fontId="32" fillId="4" borderId="6" xfId="0" applyNumberFormat="1" applyFont="1" applyFill="1" applyBorder="1" applyAlignment="1" applyProtection="1">
      <alignment horizontal="left"/>
      <protection locked="0"/>
    </xf>
    <xf numFmtId="2" fontId="32" fillId="4" borderId="6" xfId="0" applyNumberFormat="1" applyFont="1" applyFill="1" applyBorder="1" applyAlignment="1" applyProtection="1">
      <alignment horizontal="center"/>
      <protection locked="0"/>
    </xf>
    <xf numFmtId="4" fontId="32" fillId="0" borderId="6" xfId="0" applyNumberFormat="1" applyFont="1" applyBorder="1" applyAlignment="1" applyProtection="1">
      <alignment horizontal="center"/>
      <protection locked="0"/>
    </xf>
    <xf numFmtId="0" fontId="32" fillId="4" borderId="6" xfId="0" applyFont="1" applyFill="1" applyBorder="1" applyAlignment="1" applyProtection="1">
      <alignment horizontal="center"/>
      <protection locked="0"/>
    </xf>
    <xf numFmtId="0" fontId="37" fillId="0" borderId="16" xfId="0" applyFont="1" applyBorder="1" applyAlignment="1" applyProtection="1">
      <alignment horizontal="center"/>
      <protection locked="0"/>
    </xf>
    <xf numFmtId="0" fontId="32" fillId="4" borderId="17" xfId="0" applyFont="1" applyFill="1" applyBorder="1" applyAlignment="1" applyProtection="1">
      <alignment horizontal="center"/>
      <protection locked="0"/>
    </xf>
    <xf numFmtId="0" fontId="6" fillId="0" borderId="0" xfId="0" quotePrefix="1" applyFont="1" applyAlignment="1">
      <alignment horizontal="left"/>
    </xf>
    <xf numFmtId="40" fontId="4" fillId="0" borderId="12" xfId="0" applyNumberFormat="1" applyFont="1" applyBorder="1" applyAlignment="1" applyProtection="1">
      <alignment horizontal="right"/>
      <protection locked="0"/>
    </xf>
    <xf numFmtId="0" fontId="36" fillId="0" borderId="12" xfId="0" quotePrefix="1" applyFont="1" applyBorder="1" applyAlignment="1">
      <alignment horizontal="left"/>
    </xf>
    <xf numFmtId="0" fontId="4" fillId="0" borderId="12" xfId="0" applyFont="1" applyBorder="1" applyAlignment="1">
      <alignment horizontal="center"/>
    </xf>
    <xf numFmtId="40" fontId="4" fillId="0" borderId="12" xfId="0" applyNumberFormat="1" applyFont="1" applyBorder="1" applyAlignment="1">
      <alignment horizontal="right"/>
    </xf>
    <xf numFmtId="0" fontId="36" fillId="0" borderId="12" xfId="0" applyFont="1" applyBorder="1" applyAlignment="1">
      <alignment horizontal="center"/>
    </xf>
    <xf numFmtId="0" fontId="36" fillId="0" borderId="12" xfId="0" applyFont="1" applyBorder="1" applyAlignment="1" applyProtection="1">
      <alignment horizontal="right"/>
      <protection locked="0"/>
    </xf>
    <xf numFmtId="0" fontId="4" fillId="0" borderId="12" xfId="0" applyFont="1" applyBorder="1" applyProtection="1">
      <protection locked="0"/>
    </xf>
    <xf numFmtId="4" fontId="36" fillId="0" borderId="12" xfId="0" applyNumberFormat="1" applyFont="1" applyBorder="1" applyProtection="1">
      <protection locked="0"/>
    </xf>
    <xf numFmtId="170" fontId="8" fillId="0" borderId="0" xfId="0" applyNumberFormat="1" applyFont="1" applyAlignment="1" applyProtection="1">
      <alignment horizontal="left"/>
      <protection locked="0"/>
    </xf>
    <xf numFmtId="0" fontId="4" fillId="0" borderId="10" xfId="0" applyFont="1" applyBorder="1" applyAlignment="1">
      <alignment horizontal="left"/>
    </xf>
    <xf numFmtId="177" fontId="4" fillId="0" borderId="12" xfId="0" applyNumberFormat="1" applyFont="1" applyBorder="1" applyAlignment="1">
      <alignment horizontal="left"/>
    </xf>
    <xf numFmtId="177" fontId="4" fillId="0" borderId="0" xfId="0" applyNumberFormat="1" applyFont="1" applyAlignment="1">
      <alignment horizontal="left"/>
    </xf>
    <xf numFmtId="170" fontId="36" fillId="0" borderId="12" xfId="0" applyNumberFormat="1" applyFont="1" applyBorder="1" applyAlignment="1" applyProtection="1">
      <alignment horizontal="left"/>
      <protection locked="0"/>
    </xf>
    <xf numFmtId="178" fontId="6" fillId="0" borderId="0" xfId="0" applyNumberFormat="1" applyFont="1"/>
    <xf numFmtId="174" fontId="6" fillId="0" borderId="0" xfId="0" applyNumberFormat="1" applyFont="1"/>
    <xf numFmtId="186" fontId="14" fillId="0" borderId="6" xfId="0" applyNumberFormat="1" applyFont="1" applyBorder="1" applyAlignment="1">
      <alignment horizontal="center"/>
    </xf>
    <xf numFmtId="0" fontId="14" fillId="0" borderId="6" xfId="0" applyFont="1" applyBorder="1" applyAlignment="1">
      <alignment horizontal="left"/>
    </xf>
    <xf numFmtId="0" fontId="14" fillId="0" borderId="6" xfId="0" applyFont="1" applyBorder="1" applyAlignment="1">
      <alignment horizontal="center" wrapText="1"/>
    </xf>
    <xf numFmtId="178" fontId="14" fillId="0" borderId="6" xfId="0" applyNumberFormat="1" applyFont="1" applyBorder="1" applyAlignment="1">
      <alignment horizontal="right"/>
    </xf>
    <xf numFmtId="38" fontId="14" fillId="0" borderId="6" xfId="0" applyNumberFormat="1" applyFont="1" applyBorder="1" applyAlignment="1">
      <alignment horizontal="center"/>
    </xf>
    <xf numFmtId="2" fontId="14" fillId="0" borderId="0" xfId="0" applyNumberFormat="1" applyFont="1" applyAlignment="1">
      <alignment horizontal="right"/>
    </xf>
    <xf numFmtId="0" fontId="14" fillId="0" borderId="5" xfId="0" applyFont="1" applyBorder="1" applyAlignment="1">
      <alignment horizontal="center" wrapText="1"/>
    </xf>
    <xf numFmtId="0" fontId="6" fillId="0" borderId="54" xfId="22" applyBorder="1" applyAlignment="1">
      <alignment wrapText="1"/>
    </xf>
    <xf numFmtId="1" fontId="9" fillId="22" borderId="0" xfId="0" applyNumberFormat="1" applyFont="1" applyFill="1"/>
    <xf numFmtId="40" fontId="36" fillId="22" borderId="12" xfId="0" applyNumberFormat="1" applyFont="1" applyFill="1" applyBorder="1"/>
    <xf numFmtId="2" fontId="6" fillId="22" borderId="0" xfId="0" applyNumberFormat="1" applyFont="1" applyFill="1" applyAlignment="1">
      <alignment horizontal="right"/>
    </xf>
    <xf numFmtId="1" fontId="6" fillId="22" borderId="0" xfId="0" applyNumberFormat="1" applyFont="1" applyFill="1" applyAlignment="1">
      <alignment horizontal="center"/>
    </xf>
    <xf numFmtId="0" fontId="3" fillId="0" borderId="0" xfId="0" applyFont="1" applyAlignment="1">
      <alignment horizontal="center"/>
    </xf>
    <xf numFmtId="40" fontId="56" fillId="0" borderId="5" xfId="38" applyNumberFormat="1" applyFont="1" applyBorder="1"/>
    <xf numFmtId="178" fontId="9" fillId="0" borderId="0" xfId="0" applyNumberFormat="1" applyFont="1" applyAlignment="1">
      <alignment horizontal="right"/>
    </xf>
    <xf numFmtId="188" fontId="9" fillId="0" borderId="0" xfId="0" applyNumberFormat="1" applyFont="1"/>
    <xf numFmtId="186" fontId="14" fillId="0" borderId="5" xfId="0" applyNumberFormat="1" applyFont="1" applyBorder="1" applyAlignment="1">
      <alignment horizontal="center"/>
    </xf>
    <xf numFmtId="0" fontId="14" fillId="0" borderId="5" xfId="0" applyFont="1" applyBorder="1" applyAlignment="1">
      <alignment horizontal="left"/>
    </xf>
    <xf numFmtId="178" fontId="14" fillId="0" borderId="5" xfId="0" applyNumberFormat="1" applyFont="1" applyBorder="1" applyAlignment="1">
      <alignment horizontal="right"/>
    </xf>
    <xf numFmtId="38" fontId="14" fillId="0" borderId="5" xfId="0" applyNumberFormat="1" applyFont="1" applyBorder="1" applyAlignment="1">
      <alignment horizontal="center"/>
    </xf>
    <xf numFmtId="40" fontId="14" fillId="0" borderId="5" xfId="0" applyNumberFormat="1" applyFont="1" applyBorder="1" applyAlignment="1">
      <alignment horizontal="center"/>
    </xf>
    <xf numFmtId="40" fontId="14" fillId="0" borderId="5" xfId="0" applyNumberFormat="1" applyFont="1" applyBorder="1" applyAlignment="1">
      <alignment horizontal="right"/>
    </xf>
    <xf numFmtId="40" fontId="9" fillId="22" borderId="0" xfId="0" applyNumberFormat="1" applyFont="1" applyFill="1"/>
    <xf numFmtId="186" fontId="3" fillId="0" borderId="6" xfId="0" applyNumberFormat="1" applyFont="1" applyBorder="1" applyAlignment="1">
      <alignment horizontal="left"/>
    </xf>
    <xf numFmtId="0" fontId="3" fillId="0" borderId="0" xfId="0" applyFont="1" applyAlignment="1">
      <alignment horizontal="left"/>
    </xf>
    <xf numFmtId="178" fontId="3" fillId="0" borderId="0" xfId="0" applyNumberFormat="1" applyFont="1" applyAlignment="1">
      <alignment horizontal="right"/>
    </xf>
    <xf numFmtId="174" fontId="3" fillId="0" borderId="0" xfId="0" applyNumberFormat="1" applyFont="1"/>
    <xf numFmtId="2" fontId="3" fillId="0" borderId="0" xfId="0" applyNumberFormat="1" applyFont="1" applyAlignment="1">
      <alignment horizontal="right"/>
    </xf>
    <xf numFmtId="1" fontId="3" fillId="0" borderId="5" xfId="0" applyNumberFormat="1" applyFont="1" applyBorder="1" applyAlignment="1">
      <alignment horizontal="center"/>
    </xf>
    <xf numFmtId="178" fontId="4" fillId="0" borderId="0" xfId="0" applyNumberFormat="1" applyFont="1"/>
    <xf numFmtId="0" fontId="36" fillId="0" borderId="0" xfId="0" applyFont="1" applyProtection="1">
      <protection locked="0"/>
    </xf>
    <xf numFmtId="196" fontId="107" fillId="0" borderId="11" xfId="0" applyNumberFormat="1" applyFont="1" applyBorder="1" applyAlignment="1">
      <alignment horizontal="center"/>
    </xf>
    <xf numFmtId="0" fontId="0" fillId="0" borderId="5" xfId="0" applyBorder="1" applyProtection="1">
      <protection locked="0"/>
    </xf>
    <xf numFmtId="0" fontId="33" fillId="0" borderId="5" xfId="0" applyFont="1" applyBorder="1" applyAlignment="1">
      <alignment horizontal="center"/>
    </xf>
    <xf numFmtId="178" fontId="6" fillId="22" borderId="0" xfId="0" applyNumberFormat="1" applyFont="1" applyFill="1"/>
    <xf numFmtId="8" fontId="8" fillId="0" borderId="0" xfId="0" applyNumberFormat="1" applyFont="1"/>
    <xf numFmtId="1" fontId="33" fillId="0" borderId="5" xfId="0" applyNumberFormat="1" applyFont="1" applyBorder="1" applyAlignment="1">
      <alignment horizontal="center"/>
    </xf>
    <xf numFmtId="174" fontId="33" fillId="0" borderId="5" xfId="0" applyNumberFormat="1" applyFont="1" applyBorder="1" applyAlignment="1">
      <alignment horizontal="center"/>
    </xf>
    <xf numFmtId="0" fontId="33" fillId="0" borderId="5" xfId="0" applyFont="1" applyBorder="1" applyAlignment="1">
      <alignment horizontal="left"/>
    </xf>
    <xf numFmtId="0" fontId="3" fillId="0" borderId="5" xfId="0" applyFont="1" applyBorder="1" applyAlignment="1">
      <alignment horizontal="center"/>
    </xf>
    <xf numFmtId="174" fontId="3" fillId="0" borderId="5" xfId="0" applyNumberFormat="1" applyFont="1" applyBorder="1" applyAlignment="1">
      <alignment horizontal="center"/>
    </xf>
    <xf numFmtId="40" fontId="3" fillId="0" borderId="5" xfId="0" applyNumberFormat="1" applyFont="1" applyBorder="1" applyAlignment="1">
      <alignment horizontal="right"/>
    </xf>
    <xf numFmtId="1" fontId="9" fillId="0" borderId="0" xfId="0" applyNumberFormat="1" applyFont="1"/>
    <xf numFmtId="40" fontId="9" fillId="0" borderId="0" xfId="0" applyNumberFormat="1" applyFont="1" applyAlignment="1">
      <alignment horizontal="right"/>
    </xf>
    <xf numFmtId="0" fontId="0" fillId="0" borderId="5" xfId="41" applyFont="1"/>
    <xf numFmtId="40" fontId="0" fillId="0" borderId="20" xfId="0" applyNumberFormat="1" applyBorder="1" applyAlignment="1">
      <alignment vertical="center"/>
    </xf>
    <xf numFmtId="1" fontId="9" fillId="0" borderId="5" xfId="0" applyNumberFormat="1" applyFont="1" applyBorder="1"/>
    <xf numFmtId="0" fontId="9" fillId="0" borderId="5" xfId="0" applyFont="1" applyBorder="1"/>
    <xf numFmtId="174" fontId="9" fillId="0" borderId="5" xfId="0" applyNumberFormat="1" applyFont="1" applyBorder="1" applyAlignment="1">
      <alignment horizontal="center"/>
    </xf>
    <xf numFmtId="40" fontId="9" fillId="0" borderId="5" xfId="0" applyNumberFormat="1" applyFont="1" applyBorder="1" applyAlignment="1">
      <alignment horizontal="right"/>
    </xf>
    <xf numFmtId="0" fontId="33" fillId="4" borderId="17" xfId="0" applyFont="1" applyFill="1" applyBorder="1"/>
    <xf numFmtId="0" fontId="33" fillId="4" borderId="17" xfId="0" applyFont="1" applyFill="1" applyBorder="1" applyAlignment="1">
      <alignment wrapText="1"/>
    </xf>
    <xf numFmtId="170" fontId="33" fillId="4" borderId="6" xfId="0" applyNumberFormat="1" applyFont="1" applyFill="1" applyBorder="1" applyAlignment="1">
      <alignment horizontal="left"/>
    </xf>
    <xf numFmtId="0" fontId="33" fillId="4" borderId="6" xfId="0" applyFont="1" applyFill="1" applyBorder="1" applyAlignment="1">
      <alignment horizontal="center"/>
    </xf>
    <xf numFmtId="1" fontId="33" fillId="4" borderId="6" xfId="0" applyNumberFormat="1" applyFont="1" applyFill="1" applyBorder="1" applyAlignment="1">
      <alignment horizontal="center"/>
    </xf>
    <xf numFmtId="1" fontId="33" fillId="4" borderId="6" xfId="0" applyNumberFormat="1" applyFont="1" applyFill="1" applyBorder="1" applyAlignment="1">
      <alignment horizontal="center" wrapText="1"/>
    </xf>
    <xf numFmtId="174" fontId="33" fillId="4" borderId="6" xfId="0" applyNumberFormat="1" applyFont="1" applyFill="1" applyBorder="1" applyAlignment="1">
      <alignment horizontal="center"/>
    </xf>
    <xf numFmtId="0" fontId="33" fillId="4" borderId="6" xfId="0" applyFont="1" applyFill="1" applyBorder="1" applyAlignment="1">
      <alignment horizontal="left"/>
    </xf>
    <xf numFmtId="40" fontId="33" fillId="4" borderId="6" xfId="0" applyNumberFormat="1" applyFont="1" applyFill="1" applyBorder="1" applyAlignment="1">
      <alignment horizontal="right"/>
    </xf>
    <xf numFmtId="40" fontId="33" fillId="4" borderId="6" xfId="0" applyNumberFormat="1" applyFont="1" applyFill="1" applyBorder="1" applyAlignment="1">
      <alignment horizontal="right" wrapText="1"/>
    </xf>
    <xf numFmtId="40" fontId="33" fillId="4" borderId="6" xfId="0" applyNumberFormat="1" applyFont="1" applyFill="1" applyBorder="1" applyAlignment="1">
      <alignment horizontal="center"/>
    </xf>
    <xf numFmtId="175" fontId="33" fillId="4" borderId="6" xfId="0" applyNumberFormat="1" applyFont="1" applyFill="1" applyBorder="1" applyAlignment="1">
      <alignment horizontal="center"/>
    </xf>
    <xf numFmtId="0" fontId="33" fillId="4" borderId="6" xfId="0" applyFont="1" applyFill="1" applyBorder="1" applyAlignment="1">
      <alignment horizontal="center" wrapText="1"/>
    </xf>
    <xf numFmtId="40" fontId="56" fillId="0" borderId="12" xfId="0" applyNumberFormat="1" applyFont="1" applyBorder="1"/>
    <xf numFmtId="0" fontId="34" fillId="12" borderId="0" xfId="0" applyFont="1" applyFill="1"/>
    <xf numFmtId="0" fontId="34" fillId="12" borderId="5" xfId="0" applyFont="1" applyFill="1" applyBorder="1" applyAlignment="1">
      <alignment horizontal="left"/>
    </xf>
    <xf numFmtId="0" fontId="34" fillId="12" borderId="5" xfId="0" applyFont="1" applyFill="1" applyBorder="1"/>
    <xf numFmtId="1" fontId="34" fillId="12" borderId="5" xfId="0" applyNumberFormat="1" applyFont="1" applyFill="1" applyBorder="1"/>
    <xf numFmtId="1" fontId="58" fillId="12" borderId="18" xfId="0" applyNumberFormat="1" applyFont="1" applyFill="1" applyBorder="1" applyAlignment="1">
      <alignment horizontal="left"/>
    </xf>
    <xf numFmtId="0" fontId="58" fillId="12" borderId="18" xfId="0" applyFont="1" applyFill="1" applyBorder="1" applyAlignment="1">
      <alignment horizontal="center"/>
    </xf>
    <xf numFmtId="4" fontId="58" fillId="12" borderId="12" xfId="0" applyNumberFormat="1" applyFont="1" applyFill="1" applyBorder="1" applyAlignment="1">
      <alignment horizontal="left"/>
    </xf>
    <xf numFmtId="0" fontId="34" fillId="12" borderId="5" xfId="0" applyFont="1" applyFill="1" applyBorder="1" applyAlignment="1">
      <alignment horizontal="center"/>
    </xf>
    <xf numFmtId="174" fontId="58" fillId="12" borderId="18" xfId="0" applyNumberFormat="1" applyFont="1" applyFill="1" applyBorder="1"/>
    <xf numFmtId="40" fontId="58" fillId="23" borderId="18" xfId="0" applyNumberFormat="1" applyFont="1" applyFill="1" applyBorder="1"/>
    <xf numFmtId="1" fontId="58" fillId="12" borderId="0" xfId="0" quotePrefix="1" applyNumberFormat="1" applyFont="1" applyFill="1" applyAlignment="1">
      <alignment horizontal="left"/>
    </xf>
    <xf numFmtId="0" fontId="34" fillId="23" borderId="12" xfId="0" applyFont="1" applyFill="1" applyBorder="1" applyAlignment="1">
      <alignment wrapText="1"/>
    </xf>
    <xf numFmtId="1" fontId="56" fillId="0" borderId="12" xfId="0" applyNumberFormat="1" applyFont="1" applyBorder="1"/>
    <xf numFmtId="0" fontId="56" fillId="0" borderId="12" xfId="0" applyFont="1" applyBorder="1" applyAlignment="1">
      <alignment horizontal="center"/>
    </xf>
    <xf numFmtId="38" fontId="6" fillId="0" borderId="12" xfId="0" applyNumberFormat="1" applyFont="1" applyBorder="1"/>
    <xf numFmtId="177" fontId="36" fillId="0" borderId="20" xfId="0" applyNumberFormat="1" applyFont="1" applyBorder="1" applyAlignment="1">
      <alignment horizontal="left" vertical="center"/>
    </xf>
    <xf numFmtId="0" fontId="56" fillId="0" borderId="12" xfId="0" applyFont="1" applyBorder="1"/>
    <xf numFmtId="0" fontId="56" fillId="0" borderId="12" xfId="0" quotePrefix="1" applyFont="1" applyBorder="1" applyAlignment="1">
      <alignment horizontal="left"/>
    </xf>
    <xf numFmtId="1" fontId="9" fillId="0" borderId="0" xfId="0" quotePrefix="1" applyNumberFormat="1" applyFont="1" applyAlignment="1">
      <alignment horizontal="left"/>
    </xf>
    <xf numFmtId="1" fontId="56" fillId="0" borderId="12" xfId="41" quotePrefix="1" applyNumberFormat="1" applyFont="1" applyBorder="1" applyAlignment="1">
      <alignment horizontal="left"/>
    </xf>
    <xf numFmtId="4" fontId="56" fillId="0" borderId="12" xfId="0" applyNumberFormat="1" applyFont="1" applyBorder="1" applyAlignment="1">
      <alignment horizontal="left"/>
    </xf>
    <xf numFmtId="0" fontId="56" fillId="0" borderId="12" xfId="0" applyFont="1" applyBorder="1" applyAlignment="1">
      <alignment horizontal="right"/>
    </xf>
    <xf numFmtId="40" fontId="9" fillId="0" borderId="0" xfId="0" applyNumberFormat="1" applyFont="1" applyAlignment="1">
      <alignment horizontal="center"/>
    </xf>
    <xf numFmtId="1" fontId="56" fillId="0" borderId="12" xfId="0" quotePrefix="1" applyNumberFormat="1" applyFont="1" applyBorder="1" applyAlignment="1">
      <alignment horizontal="left"/>
    </xf>
    <xf numFmtId="177" fontId="6" fillId="0" borderId="20" xfId="0" applyNumberFormat="1" applyFont="1" applyBorder="1" applyAlignment="1">
      <alignment horizontal="left" vertical="center"/>
    </xf>
    <xf numFmtId="170" fontId="9" fillId="0" borderId="0" xfId="0" applyNumberFormat="1" applyFont="1" applyAlignment="1">
      <alignment horizontal="left" vertical="top"/>
    </xf>
    <xf numFmtId="40" fontId="56" fillId="0" borderId="12" xfId="0" applyNumberFormat="1" applyFont="1" applyBorder="1" applyAlignment="1">
      <alignment horizontal="center"/>
    </xf>
    <xf numFmtId="177" fontId="6" fillId="0" borderId="19" xfId="0" applyNumberFormat="1" applyFont="1" applyBorder="1" applyAlignment="1">
      <alignment horizontal="left" wrapText="1"/>
    </xf>
    <xf numFmtId="1" fontId="56" fillId="0" borderId="18" xfId="0" applyNumberFormat="1" applyFont="1" applyBorder="1"/>
    <xf numFmtId="0" fontId="36" fillId="0" borderId="62" xfId="0" applyFont="1" applyBorder="1"/>
    <xf numFmtId="38" fontId="6" fillId="0" borderId="62" xfId="0" applyNumberFormat="1" applyFont="1" applyBorder="1"/>
    <xf numFmtId="177" fontId="36" fillId="0" borderId="20" xfId="0" applyNumberFormat="1" applyFont="1" applyBorder="1" applyAlignment="1">
      <alignment horizontal="left"/>
    </xf>
    <xf numFmtId="0" fontId="108" fillId="0" borderId="26" xfId="0" applyFont="1" applyBorder="1" applyAlignment="1" applyProtection="1">
      <alignment horizontal="center" wrapText="1"/>
      <protection locked="0"/>
    </xf>
    <xf numFmtId="170" fontId="108" fillId="0" borderId="26" xfId="0" applyNumberFormat="1" applyFont="1" applyBorder="1" applyAlignment="1" applyProtection="1">
      <alignment horizontal="center"/>
      <protection locked="0"/>
    </xf>
    <xf numFmtId="0" fontId="36" fillId="0" borderId="62" xfId="0" applyFont="1" applyBorder="1" applyAlignment="1">
      <alignment horizontal="left"/>
    </xf>
    <xf numFmtId="2" fontId="108" fillId="0" borderId="26" xfId="0" applyNumberFormat="1" applyFont="1" applyBorder="1" applyAlignment="1" applyProtection="1">
      <alignment horizontal="center"/>
      <protection locked="0"/>
    </xf>
    <xf numFmtId="4" fontId="108" fillId="0" borderId="26" xfId="0" applyNumberFormat="1" applyFont="1" applyBorder="1" applyAlignment="1" applyProtection="1">
      <alignment horizontal="center"/>
      <protection locked="0"/>
    </xf>
    <xf numFmtId="0" fontId="108" fillId="0" borderId="26" xfId="0" applyFont="1" applyBorder="1" applyAlignment="1" applyProtection="1">
      <alignment horizontal="center"/>
      <protection locked="0"/>
    </xf>
    <xf numFmtId="40" fontId="6" fillId="0" borderId="0" xfId="0" applyNumberFormat="1" applyFont="1" applyProtection="1">
      <protection locked="0"/>
    </xf>
    <xf numFmtId="0" fontId="33" fillId="12" borderId="18" xfId="0" applyFont="1" applyFill="1" applyBorder="1" applyAlignment="1" applyProtection="1">
      <alignment horizontal="right"/>
      <protection locked="0"/>
    </xf>
    <xf numFmtId="170" fontId="34" fillId="12" borderId="18" xfId="0" applyNumberFormat="1" applyFont="1" applyFill="1" applyBorder="1" applyProtection="1">
      <protection locked="0"/>
    </xf>
    <xf numFmtId="0" fontId="34" fillId="12" borderId="18" xfId="0" applyFont="1" applyFill="1" applyBorder="1" applyProtection="1">
      <protection locked="0"/>
    </xf>
    <xf numFmtId="0" fontId="34" fillId="12" borderId="18" xfId="0" applyFont="1" applyFill="1" applyBorder="1" applyAlignment="1" applyProtection="1">
      <alignment horizontal="center"/>
      <protection locked="0"/>
    </xf>
    <xf numFmtId="4" fontId="34" fillId="12" borderId="18" xfId="0" applyNumberFormat="1" applyFont="1" applyFill="1" applyBorder="1" applyProtection="1">
      <protection locked="0"/>
    </xf>
    <xf numFmtId="187" fontId="34" fillId="12" borderId="18" xfId="0" applyNumberFormat="1" applyFont="1" applyFill="1" applyBorder="1" applyAlignment="1" applyProtection="1">
      <alignment horizontal="right"/>
      <protection locked="0"/>
    </xf>
    <xf numFmtId="0" fontId="109" fillId="12" borderId="18" xfId="0" applyFont="1" applyFill="1" applyBorder="1" applyProtection="1">
      <protection locked="0"/>
    </xf>
    <xf numFmtId="0" fontId="109" fillId="12" borderId="18" xfId="0" applyFont="1" applyFill="1" applyBorder="1" applyAlignment="1" applyProtection="1">
      <alignment horizontal="center"/>
      <protection locked="0"/>
    </xf>
    <xf numFmtId="1" fontId="58" fillId="12" borderId="18" xfId="0" applyNumberFormat="1" applyFont="1" applyFill="1" applyBorder="1" applyAlignment="1" applyProtection="1">
      <alignment horizontal="center"/>
      <protection locked="0"/>
    </xf>
    <xf numFmtId="187" fontId="34" fillId="12" borderId="18" xfId="0" applyNumberFormat="1" applyFont="1" applyFill="1" applyBorder="1" applyProtection="1">
      <protection locked="0"/>
    </xf>
    <xf numFmtId="40" fontId="108" fillId="0" borderId="26" xfId="0" applyNumberFormat="1" applyFont="1" applyBorder="1" applyAlignment="1" applyProtection="1">
      <alignment horizontal="right"/>
      <protection locked="0"/>
    </xf>
    <xf numFmtId="1" fontId="9" fillId="22" borderId="0" xfId="0" applyNumberFormat="1" applyFont="1" applyFill="1" applyAlignment="1">
      <alignment horizontal="center"/>
    </xf>
    <xf numFmtId="186" fontId="58" fillId="12" borderId="0" xfId="0" applyNumberFormat="1" applyFont="1" applyFill="1" applyAlignment="1">
      <alignment horizontal="left"/>
    </xf>
    <xf numFmtId="0" fontId="58" fillId="12" borderId="0" xfId="0" applyFont="1" applyFill="1" applyAlignment="1">
      <alignment horizontal="left"/>
    </xf>
    <xf numFmtId="0" fontId="58" fillId="12" borderId="0" xfId="0" applyFont="1" applyFill="1" applyAlignment="1">
      <alignment horizontal="center"/>
    </xf>
    <xf numFmtId="0" fontId="58" fillId="12" borderId="0" xfId="0" applyFont="1" applyFill="1"/>
    <xf numFmtId="178" fontId="58" fillId="12" borderId="0" xfId="0" applyNumberFormat="1" applyFont="1" applyFill="1" applyAlignment="1">
      <alignment horizontal="right"/>
    </xf>
    <xf numFmtId="188" fontId="58" fillId="12" borderId="0" xfId="0" applyNumberFormat="1" applyFont="1" applyFill="1"/>
    <xf numFmtId="2" fontId="58" fillId="12" borderId="0" xfId="0" applyNumberFormat="1" applyFont="1" applyFill="1"/>
    <xf numFmtId="1" fontId="58" fillId="12" borderId="0" xfId="0" applyNumberFormat="1" applyFont="1" applyFill="1" applyAlignment="1">
      <alignment horizontal="center"/>
    </xf>
    <xf numFmtId="174" fontId="58" fillId="12" borderId="0" xfId="0" applyNumberFormat="1" applyFont="1" applyFill="1"/>
    <xf numFmtId="186" fontId="3" fillId="0" borderId="26" xfId="0" applyNumberFormat="1" applyFont="1" applyBorder="1" applyAlignment="1">
      <alignment horizontal="left"/>
    </xf>
    <xf numFmtId="0" fontId="3" fillId="0" borderId="26" xfId="0" applyFont="1" applyBorder="1" applyAlignment="1">
      <alignment horizontal="left"/>
    </xf>
    <xf numFmtId="0" fontId="3" fillId="0" borderId="26" xfId="0" applyFont="1" applyBorder="1" applyAlignment="1">
      <alignment horizontal="center"/>
    </xf>
    <xf numFmtId="0" fontId="3" fillId="0" borderId="26" xfId="0" applyFont="1" applyBorder="1"/>
    <xf numFmtId="178" fontId="3" fillId="0" borderId="26" xfId="0" applyNumberFormat="1" applyFont="1" applyBorder="1" applyAlignment="1">
      <alignment horizontal="right"/>
    </xf>
    <xf numFmtId="178" fontId="3" fillId="0" borderId="26" xfId="0" applyNumberFormat="1" applyFont="1" applyBorder="1"/>
    <xf numFmtId="1" fontId="3" fillId="0" borderId="26" xfId="0" applyNumberFormat="1" applyFont="1" applyBorder="1" applyAlignment="1">
      <alignment horizontal="center"/>
    </xf>
    <xf numFmtId="165" fontId="3" fillId="0" borderId="26" xfId="0" applyNumberFormat="1" applyFont="1" applyBorder="1"/>
    <xf numFmtId="186" fontId="14" fillId="0" borderId="26" xfId="0" applyNumberFormat="1" applyFont="1" applyBorder="1" applyAlignment="1">
      <alignment horizontal="center"/>
    </xf>
    <xf numFmtId="0" fontId="14" fillId="0" borderId="26" xfId="0" applyFont="1" applyBorder="1" applyAlignment="1">
      <alignment horizontal="left"/>
    </xf>
    <xf numFmtId="0" fontId="9" fillId="0" borderId="26" xfId="0" applyFont="1" applyBorder="1" applyAlignment="1">
      <alignment horizontal="center"/>
    </xf>
    <xf numFmtId="0" fontId="14" fillId="0" borderId="26" xfId="0" applyFont="1" applyBorder="1" applyAlignment="1">
      <alignment horizontal="center"/>
    </xf>
    <xf numFmtId="178" fontId="14" fillId="0" borderId="26" xfId="0" applyNumberFormat="1" applyFont="1" applyBorder="1" applyAlignment="1">
      <alignment horizontal="right"/>
    </xf>
    <xf numFmtId="38" fontId="0" fillId="0" borderId="26" xfId="0" applyNumberFormat="1" applyBorder="1"/>
    <xf numFmtId="40" fontId="14" fillId="0" borderId="26" xfId="0" applyNumberFormat="1" applyFont="1" applyBorder="1" applyAlignment="1">
      <alignment horizontal="center"/>
    </xf>
    <xf numFmtId="40" fontId="14" fillId="0" borderId="26" xfId="21" applyNumberFormat="1" applyFont="1" applyBorder="1" applyAlignment="1">
      <alignment horizontal="right"/>
    </xf>
    <xf numFmtId="40" fontId="58" fillId="12" borderId="0" xfId="0" applyNumberFormat="1" applyFont="1" applyFill="1"/>
    <xf numFmtId="49" fontId="33" fillId="0" borderId="5" xfId="0" applyNumberFormat="1" applyFont="1" applyBorder="1" applyAlignment="1">
      <alignment horizontal="center"/>
    </xf>
    <xf numFmtId="0" fontId="34" fillId="0" borderId="5" xfId="0" applyFont="1" applyBorder="1" applyAlignment="1">
      <alignment wrapText="1"/>
    </xf>
    <xf numFmtId="177" fontId="33" fillId="0" borderId="5" xfId="0" applyNumberFormat="1" applyFont="1" applyBorder="1" applyAlignment="1">
      <alignment horizontal="left" vertical="top"/>
    </xf>
    <xf numFmtId="174" fontId="33" fillId="0" borderId="5" xfId="0" applyNumberFormat="1" applyFont="1" applyBorder="1" applyAlignment="1">
      <alignment horizontal="left" vertical="top" wrapText="1"/>
    </xf>
    <xf numFmtId="49" fontId="3" fillId="0" borderId="5" xfId="0" applyNumberFormat="1" applyFont="1" applyBorder="1" applyAlignment="1">
      <alignment horizontal="center"/>
    </xf>
    <xf numFmtId="174" fontId="3" fillId="0" borderId="5" xfId="0" applyNumberFormat="1" applyFont="1" applyBorder="1" applyAlignment="1">
      <alignment horizontal="left" vertical="top" wrapText="1"/>
    </xf>
    <xf numFmtId="43" fontId="3" fillId="0" borderId="5" xfId="0" applyNumberFormat="1" applyFont="1" applyBorder="1" applyAlignment="1">
      <alignment horizontal="center"/>
    </xf>
    <xf numFmtId="49" fontId="33" fillId="0" borderId="26" xfId="0" applyNumberFormat="1" applyFont="1" applyBorder="1" applyAlignment="1">
      <alignment horizontal="center"/>
    </xf>
    <xf numFmtId="174" fontId="33" fillId="0" borderId="26" xfId="0" applyNumberFormat="1" applyFont="1" applyBorder="1" applyAlignment="1">
      <alignment horizontal="left" vertical="top" wrapText="1"/>
    </xf>
    <xf numFmtId="0" fontId="33" fillId="0" borderId="26" xfId="0" applyFont="1" applyBorder="1" applyAlignment="1">
      <alignment horizontal="center"/>
    </xf>
    <xf numFmtId="40" fontId="33" fillId="0" borderId="26" xfId="0" applyNumberFormat="1" applyFont="1" applyBorder="1" applyAlignment="1">
      <alignment horizontal="center"/>
    </xf>
    <xf numFmtId="40" fontId="3" fillId="0" borderId="26" xfId="0" applyNumberFormat="1" applyFont="1" applyBorder="1" applyAlignment="1">
      <alignment horizontal="right"/>
    </xf>
    <xf numFmtId="174" fontId="33" fillId="0" borderId="26" xfId="0" applyNumberFormat="1" applyFont="1" applyBorder="1" applyAlignment="1">
      <alignment horizontal="center"/>
    </xf>
    <xf numFmtId="40" fontId="6" fillId="0" borderId="0" xfId="0" applyNumberFormat="1" applyFont="1" applyAlignment="1">
      <alignment horizontal="left"/>
    </xf>
    <xf numFmtId="174" fontId="4" fillId="0" borderId="0" xfId="0" applyNumberFormat="1" applyFont="1" applyAlignment="1">
      <alignment horizontal="left"/>
    </xf>
    <xf numFmtId="174" fontId="4" fillId="0" borderId="26" xfId="0" applyNumberFormat="1" applyFont="1" applyBorder="1" applyAlignment="1">
      <alignment horizontal="left"/>
    </xf>
    <xf numFmtId="1" fontId="34" fillId="12" borderId="0" xfId="0" applyNumberFormat="1" applyFont="1" applyFill="1" applyAlignment="1">
      <alignment horizontal="left"/>
    </xf>
    <xf numFmtId="1" fontId="34" fillId="12" borderId="0" xfId="0" applyNumberFormat="1" applyFont="1" applyFill="1" applyAlignment="1">
      <alignment horizontal="center"/>
    </xf>
    <xf numFmtId="49" fontId="34" fillId="12" borderId="0" xfId="0" applyNumberFormat="1" applyFont="1" applyFill="1"/>
    <xf numFmtId="177" fontId="34" fillId="12" borderId="0" xfId="0" applyNumberFormat="1" applyFont="1" applyFill="1" applyAlignment="1">
      <alignment horizontal="left" vertical="top"/>
    </xf>
    <xf numFmtId="0" fontId="34" fillId="12" borderId="0" xfId="0" applyFont="1" applyFill="1" applyAlignment="1">
      <alignment horizontal="left" vertical="top" wrapText="1"/>
    </xf>
    <xf numFmtId="43" fontId="34" fillId="12" borderId="5" xfId="14" applyFont="1" applyFill="1" applyAlignment="1">
      <alignment horizontal="right"/>
    </xf>
    <xf numFmtId="40" fontId="34" fillId="12" borderId="0" xfId="0" applyNumberFormat="1" applyFont="1" applyFill="1" applyAlignment="1">
      <alignment horizontal="right" wrapText="1"/>
    </xf>
    <xf numFmtId="174" fontId="34" fillId="12" borderId="0" xfId="0" applyNumberFormat="1" applyFont="1" applyFill="1" applyAlignment="1">
      <alignment horizontal="right"/>
    </xf>
    <xf numFmtId="174" fontId="34" fillId="12" borderId="0" xfId="0" applyNumberFormat="1" applyFont="1" applyFill="1" applyAlignment="1">
      <alignment horizontal="left"/>
    </xf>
    <xf numFmtId="40" fontId="34" fillId="12" borderId="0" xfId="0" applyNumberFormat="1" applyFont="1" applyFill="1" applyAlignment="1">
      <alignment horizontal="right"/>
    </xf>
    <xf numFmtId="2" fontId="34" fillId="12" borderId="0" xfId="0" applyNumberFormat="1" applyFont="1" applyFill="1" applyAlignment="1">
      <alignment horizontal="right"/>
    </xf>
    <xf numFmtId="174" fontId="33" fillId="0" borderId="5" xfId="0" applyNumberFormat="1" applyFont="1" applyBorder="1" applyAlignment="1">
      <alignment horizontal="center" wrapText="1"/>
    </xf>
    <xf numFmtId="174" fontId="3" fillId="0" borderId="5" xfId="0" applyNumberFormat="1" applyFont="1" applyBorder="1" applyAlignment="1">
      <alignment horizontal="center" wrapText="1"/>
    </xf>
    <xf numFmtId="174" fontId="33" fillId="0" borderId="26" xfId="0" applyNumberFormat="1" applyFont="1" applyBorder="1" applyAlignment="1">
      <alignment horizontal="center" wrapText="1"/>
    </xf>
    <xf numFmtId="0" fontId="6" fillId="0" borderId="0" xfId="0" applyFont="1" applyAlignment="1">
      <alignment horizontal="center" wrapText="1"/>
    </xf>
    <xf numFmtId="172" fontId="4" fillId="0" borderId="0" xfId="0" applyNumberFormat="1" applyFont="1" applyAlignment="1">
      <alignment horizontal="center" wrapText="1"/>
    </xf>
    <xf numFmtId="0" fontId="8" fillId="0" borderId="0" xfId="0" applyFont="1" applyAlignment="1">
      <alignment horizontal="center" wrapText="1"/>
    </xf>
    <xf numFmtId="0" fontId="34" fillId="12" borderId="0" xfId="0" applyFont="1" applyFill="1" applyAlignment="1">
      <alignment horizontal="center" wrapText="1"/>
    </xf>
    <xf numFmtId="0" fontId="9" fillId="22" borderId="0" xfId="0" applyFont="1" applyFill="1"/>
    <xf numFmtId="0" fontId="0" fillId="22" borderId="0" xfId="0" applyFill="1"/>
    <xf numFmtId="169" fontId="11" fillId="22" borderId="0" xfId="0" applyNumberFormat="1" applyFont="1" applyFill="1" applyAlignment="1">
      <alignment horizontal="center"/>
    </xf>
    <xf numFmtId="43" fontId="0" fillId="22" borderId="0" xfId="0" applyNumberFormat="1" applyFill="1"/>
    <xf numFmtId="0" fontId="0" fillId="22" borderId="13" xfId="0" applyFill="1" applyBorder="1"/>
    <xf numFmtId="40" fontId="4" fillId="22" borderId="6" xfId="0" applyNumberFormat="1" applyFont="1" applyFill="1" applyBorder="1"/>
    <xf numFmtId="0" fontId="4" fillId="22" borderId="6" xfId="0" applyFont="1" applyFill="1" applyBorder="1"/>
    <xf numFmtId="40" fontId="11" fillId="22" borderId="4" xfId="0" applyNumberFormat="1" applyFont="1" applyFill="1" applyBorder="1" applyAlignment="1">
      <alignment horizontal="right"/>
    </xf>
    <xf numFmtId="0" fontId="6" fillId="22" borderId="0" xfId="0" applyFont="1" applyFill="1"/>
    <xf numFmtId="0" fontId="10" fillId="24" borderId="12" xfId="0" applyFont="1" applyFill="1" applyBorder="1" applyAlignment="1">
      <alignment horizontal="left"/>
    </xf>
    <xf numFmtId="0" fontId="10" fillId="24" borderId="12" xfId="0" applyFont="1" applyFill="1" applyBorder="1"/>
    <xf numFmtId="8" fontId="0" fillId="22" borderId="0" xfId="0" applyNumberFormat="1" applyFill="1"/>
    <xf numFmtId="0" fontId="10" fillId="22" borderId="0" xfId="0" applyFont="1" applyFill="1" applyAlignment="1">
      <alignment horizontal="center"/>
    </xf>
    <xf numFmtId="186" fontId="10" fillId="22" borderId="0" xfId="0" applyNumberFormat="1" applyFont="1" applyFill="1" applyAlignment="1">
      <alignment horizontal="left"/>
    </xf>
    <xf numFmtId="0" fontId="10" fillId="22" borderId="0" xfId="0" applyFont="1" applyFill="1"/>
    <xf numFmtId="0" fontId="10" fillId="22" borderId="5" xfId="0" applyFont="1" applyFill="1" applyBorder="1" applyAlignment="1">
      <alignment horizontal="left"/>
    </xf>
    <xf numFmtId="169" fontId="10" fillId="22" borderId="0" xfId="0" applyNumberFormat="1" applyFont="1" applyFill="1"/>
    <xf numFmtId="40" fontId="10" fillId="22" borderId="0" xfId="0" applyNumberFormat="1" applyFont="1" applyFill="1" applyAlignment="1">
      <alignment horizontal="left"/>
    </xf>
    <xf numFmtId="40" fontId="10" fillId="22" borderId="5" xfId="0" applyNumberFormat="1" applyFont="1" applyFill="1" applyBorder="1" applyAlignment="1">
      <alignment horizontal="left"/>
    </xf>
    <xf numFmtId="186" fontId="0" fillId="22" borderId="0" xfId="0" applyNumberFormat="1" applyFill="1"/>
    <xf numFmtId="169" fontId="0" fillId="22" borderId="14" xfId="0" applyNumberFormat="1" applyFill="1" applyBorder="1"/>
    <xf numFmtId="0" fontId="4" fillId="22" borderId="12" xfId="0" applyFont="1" applyFill="1" applyBorder="1" applyAlignment="1">
      <alignment wrapText="1"/>
    </xf>
    <xf numFmtId="1" fontId="9" fillId="22" borderId="0" xfId="0" quotePrefix="1" applyNumberFormat="1" applyFont="1" applyFill="1" applyAlignment="1">
      <alignment horizontal="left"/>
    </xf>
    <xf numFmtId="1" fontId="56" fillId="22" borderId="12" xfId="41" quotePrefix="1" applyNumberFormat="1" applyFont="1" applyFill="1" applyBorder="1" applyAlignment="1">
      <alignment horizontal="left"/>
    </xf>
    <xf numFmtId="1" fontId="56" fillId="22" borderId="12" xfId="0" applyNumberFormat="1" applyFont="1" applyFill="1" applyBorder="1" applyAlignment="1">
      <alignment horizontal="left"/>
    </xf>
    <xf numFmtId="1" fontId="9" fillId="22" borderId="0" xfId="0" applyNumberFormat="1" applyFont="1" applyFill="1" applyAlignment="1">
      <alignment horizontal="left"/>
    </xf>
    <xf numFmtId="1" fontId="9" fillId="22" borderId="5" xfId="0" applyNumberFormat="1" applyFont="1" applyFill="1" applyBorder="1" applyAlignment="1">
      <alignment horizontal="left"/>
    </xf>
    <xf numFmtId="1" fontId="9" fillId="22" borderId="5" xfId="0" applyNumberFormat="1" applyFont="1" applyFill="1" applyBorder="1"/>
    <xf numFmtId="4" fontId="56" fillId="22" borderId="12" xfId="0" applyNumberFormat="1" applyFont="1" applyFill="1" applyBorder="1" applyAlignment="1">
      <alignment horizontal="left"/>
    </xf>
    <xf numFmtId="40" fontId="3" fillId="22" borderId="12" xfId="0" applyNumberFormat="1" applyFont="1" applyFill="1" applyBorder="1" applyAlignment="1">
      <alignment horizontal="right" wrapText="1"/>
    </xf>
    <xf numFmtId="40" fontId="4" fillId="22" borderId="12" xfId="0" applyNumberFormat="1" applyFont="1" applyFill="1" applyBorder="1" applyAlignment="1">
      <alignment horizontal="right"/>
    </xf>
    <xf numFmtId="178" fontId="108" fillId="22" borderId="12" xfId="0" applyNumberFormat="1" applyFont="1" applyFill="1" applyBorder="1" applyAlignment="1">
      <alignment horizontal="right"/>
    </xf>
    <xf numFmtId="40" fontId="3" fillId="22" borderId="62" xfId="0" applyNumberFormat="1" applyFont="1" applyFill="1" applyBorder="1" applyAlignment="1">
      <alignment horizontal="right" wrapText="1"/>
    </xf>
    <xf numFmtId="40" fontId="4" fillId="22" borderId="62" xfId="0" applyNumberFormat="1" applyFont="1" applyFill="1" applyBorder="1" applyAlignment="1">
      <alignment horizontal="right"/>
    </xf>
    <xf numFmtId="178" fontId="108" fillId="22" borderId="62" xfId="0" applyNumberFormat="1" applyFont="1" applyFill="1" applyBorder="1" applyAlignment="1">
      <alignment horizontal="right"/>
    </xf>
    <xf numFmtId="174" fontId="56" fillId="22" borderId="12" xfId="0" applyNumberFormat="1" applyFont="1" applyFill="1" applyBorder="1"/>
    <xf numFmtId="40" fontId="56" fillId="22" borderId="12" xfId="0" applyNumberFormat="1" applyFont="1" applyFill="1" applyBorder="1"/>
    <xf numFmtId="1" fontId="56" fillId="22" borderId="12" xfId="0" applyNumberFormat="1" applyFont="1" applyFill="1" applyBorder="1"/>
    <xf numFmtId="186" fontId="108" fillId="22" borderId="12" xfId="0" applyNumberFormat="1" applyFont="1" applyFill="1" applyBorder="1" applyAlignment="1">
      <alignment horizontal="center"/>
    </xf>
    <xf numFmtId="0" fontId="36" fillId="22" borderId="12" xfId="0" applyFont="1" applyFill="1" applyBorder="1"/>
    <xf numFmtId="0" fontId="108" fillId="22" borderId="12" xfId="0" applyFont="1" applyFill="1" applyBorder="1" applyAlignment="1">
      <alignment horizontal="left"/>
    </xf>
    <xf numFmtId="1" fontId="36" fillId="22" borderId="12" xfId="0" applyNumberFormat="1" applyFont="1" applyFill="1" applyBorder="1"/>
    <xf numFmtId="0" fontId="56" fillId="22" borderId="12" xfId="0" applyFont="1" applyFill="1" applyBorder="1" applyAlignment="1">
      <alignment horizontal="center"/>
    </xf>
    <xf numFmtId="0" fontId="108" fillId="22" borderId="12" xfId="0" applyFont="1" applyFill="1" applyBorder="1" applyAlignment="1">
      <alignment horizontal="center"/>
    </xf>
    <xf numFmtId="187" fontId="56" fillId="22" borderId="12" xfId="0" applyNumberFormat="1" applyFont="1" applyFill="1" applyBorder="1" applyAlignment="1">
      <alignment horizontal="right"/>
    </xf>
    <xf numFmtId="40" fontId="108" fillId="22" borderId="12" xfId="0" applyNumberFormat="1" applyFont="1" applyFill="1" applyBorder="1" applyAlignment="1">
      <alignment horizontal="center"/>
    </xf>
    <xf numFmtId="1" fontId="56" fillId="22" borderId="62" xfId="0" applyNumberFormat="1" applyFont="1" applyFill="1" applyBorder="1"/>
    <xf numFmtId="0" fontId="4" fillId="22" borderId="62" xfId="0" applyFont="1" applyFill="1" applyBorder="1" applyAlignment="1">
      <alignment wrapText="1"/>
    </xf>
    <xf numFmtId="186" fontId="108" fillId="22" borderId="62" xfId="0" applyNumberFormat="1" applyFont="1" applyFill="1" applyBorder="1" applyAlignment="1">
      <alignment horizontal="center"/>
    </xf>
    <xf numFmtId="0" fontId="36" fillId="22" borderId="62" xfId="0" applyFont="1" applyFill="1" applyBorder="1"/>
    <xf numFmtId="0" fontId="108" fillId="22" borderId="62" xfId="0" applyFont="1" applyFill="1" applyBorder="1" applyAlignment="1">
      <alignment horizontal="left"/>
    </xf>
    <xf numFmtId="1" fontId="36" fillId="22" borderId="62" xfId="0" applyNumberFormat="1" applyFont="1" applyFill="1" applyBorder="1"/>
    <xf numFmtId="0" fontId="56" fillId="22" borderId="62" xfId="0" applyFont="1" applyFill="1" applyBorder="1" applyAlignment="1">
      <alignment horizontal="center"/>
    </xf>
    <xf numFmtId="0" fontId="108" fillId="22" borderId="62" xfId="0" applyFont="1" applyFill="1" applyBorder="1" applyAlignment="1">
      <alignment horizontal="center"/>
    </xf>
    <xf numFmtId="187" fontId="56" fillId="22" borderId="62" xfId="0" applyNumberFormat="1" applyFont="1" applyFill="1" applyBorder="1" applyAlignment="1">
      <alignment horizontal="right"/>
    </xf>
    <xf numFmtId="40" fontId="108" fillId="22" borderId="62" xfId="0" applyNumberFormat="1" applyFont="1" applyFill="1" applyBorder="1" applyAlignment="1">
      <alignment horizontal="center"/>
    </xf>
    <xf numFmtId="176" fontId="3" fillId="22" borderId="0" xfId="0" applyNumberFormat="1" applyFont="1" applyFill="1"/>
    <xf numFmtId="40" fontId="4" fillId="22" borderId="0" xfId="0" applyNumberFormat="1" applyFont="1" applyFill="1"/>
    <xf numFmtId="0" fontId="8" fillId="22" borderId="0" xfId="0" applyFont="1" applyFill="1"/>
    <xf numFmtId="0" fontId="0" fillId="22" borderId="0" xfId="0" applyFill="1" applyProtection="1">
      <protection locked="0"/>
    </xf>
    <xf numFmtId="40" fontId="0" fillId="22" borderId="0" xfId="0" applyNumberFormat="1" applyFill="1" applyProtection="1">
      <protection locked="0"/>
    </xf>
    <xf numFmtId="38" fontId="8" fillId="22" borderId="0" xfId="0" applyNumberFormat="1" applyFont="1" applyFill="1"/>
    <xf numFmtId="38" fontId="4" fillId="22" borderId="0" xfId="0" applyNumberFormat="1" applyFont="1" applyFill="1"/>
    <xf numFmtId="174" fontId="0" fillId="22" borderId="0" xfId="0" applyNumberFormat="1" applyFill="1"/>
    <xf numFmtId="38" fontId="82" fillId="22" borderId="0" xfId="0" applyNumberFormat="1" applyFont="1" applyFill="1"/>
    <xf numFmtId="38" fontId="11" fillId="22" borderId="0" xfId="0" applyNumberFormat="1" applyFont="1" applyFill="1"/>
    <xf numFmtId="40" fontId="0" fillId="22" borderId="0" xfId="0" applyNumberFormat="1" applyFill="1"/>
    <xf numFmtId="8" fontId="11" fillId="22" borderId="0" xfId="0" applyNumberFormat="1" applyFont="1" applyFill="1" applyAlignment="1">
      <alignment horizontal="right"/>
    </xf>
    <xf numFmtId="0" fontId="11" fillId="22" borderId="0" xfId="0" applyFont="1" applyFill="1" applyAlignment="1">
      <alignment horizontal="right"/>
    </xf>
    <xf numFmtId="1" fontId="8" fillId="0" borderId="26" xfId="0" applyNumberFormat="1" applyFont="1" applyBorder="1" applyAlignment="1">
      <alignment horizontal="center"/>
    </xf>
    <xf numFmtId="40" fontId="4" fillId="22" borderId="0" xfId="0" applyNumberFormat="1" applyFont="1" applyFill="1" applyAlignment="1">
      <alignment horizontal="right"/>
    </xf>
    <xf numFmtId="174" fontId="4" fillId="22" borderId="0" xfId="0" applyNumberFormat="1" applyFont="1" applyFill="1" applyAlignment="1">
      <alignment horizontal="right"/>
    </xf>
    <xf numFmtId="40" fontId="6" fillId="22" borderId="0" xfId="0" applyNumberFormat="1" applyFont="1" applyFill="1" applyAlignment="1">
      <alignment horizontal="right" wrapText="1"/>
    </xf>
    <xf numFmtId="0" fontId="4" fillId="22" borderId="0" xfId="0" applyFont="1" applyFill="1"/>
    <xf numFmtId="40" fontId="4" fillId="22" borderId="0" xfId="0" applyNumberFormat="1" applyFont="1" applyFill="1" applyAlignment="1">
      <alignment horizontal="left"/>
    </xf>
    <xf numFmtId="0" fontId="10" fillId="22" borderId="12" xfId="2" applyFont="1" applyFill="1" applyBorder="1"/>
    <xf numFmtId="0" fontId="36" fillId="22" borderId="10" xfId="13" applyFont="1" applyFill="1" applyBorder="1"/>
    <xf numFmtId="0" fontId="56" fillId="22" borderId="5" xfId="45" applyFont="1" applyFill="1"/>
    <xf numFmtId="40" fontId="4" fillId="22" borderId="5" xfId="13" applyNumberFormat="1" applyFont="1" applyFill="1"/>
    <xf numFmtId="40" fontId="9" fillId="22" borderId="5" xfId="13" applyNumberFormat="1" applyFont="1" applyFill="1"/>
    <xf numFmtId="172" fontId="9" fillId="22" borderId="5" xfId="13" applyNumberFormat="1" applyFont="1" applyFill="1"/>
    <xf numFmtId="187" fontId="6" fillId="22" borderId="5" xfId="13" applyNumberFormat="1" applyFill="1"/>
    <xf numFmtId="44" fontId="6" fillId="22" borderId="5" xfId="15" applyFont="1" applyFill="1" applyBorder="1"/>
    <xf numFmtId="187" fontId="4" fillId="22" borderId="5" xfId="13" applyNumberFormat="1" applyFont="1" applyFill="1"/>
    <xf numFmtId="40" fontId="10" fillId="22" borderId="18" xfId="13" applyNumberFormat="1" applyFont="1" applyFill="1" applyBorder="1"/>
    <xf numFmtId="40" fontId="6" fillId="22" borderId="5" xfId="13" applyNumberFormat="1" applyFill="1"/>
    <xf numFmtId="165" fontId="9" fillId="22" borderId="5" xfId="13" applyNumberFormat="1" applyFont="1" applyFill="1"/>
    <xf numFmtId="44" fontId="9" fillId="22" borderId="5" xfId="13" applyNumberFormat="1" applyFont="1" applyFill="1"/>
    <xf numFmtId="0" fontId="17" fillId="22" borderId="5" xfId="13" applyFont="1" applyFill="1"/>
    <xf numFmtId="40" fontId="10" fillId="22" borderId="23" xfId="13" applyNumberFormat="1" applyFont="1" applyFill="1" applyBorder="1"/>
    <xf numFmtId="40" fontId="12" fillId="22" borderId="5" xfId="13" applyNumberFormat="1" applyFont="1" applyFill="1"/>
    <xf numFmtId="44" fontId="9" fillId="22" borderId="23" xfId="13" applyNumberFormat="1" applyFont="1" applyFill="1" applyBorder="1"/>
    <xf numFmtId="0" fontId="9" fillId="22" borderId="5" xfId="13" applyFont="1" applyFill="1"/>
    <xf numFmtId="40" fontId="10" fillId="22" borderId="12" xfId="13" applyNumberFormat="1" applyFont="1" applyFill="1" applyBorder="1"/>
    <xf numFmtId="40" fontId="10" fillId="22" borderId="14" xfId="13" applyNumberFormat="1" applyFont="1" applyFill="1" applyBorder="1"/>
    <xf numFmtId="40" fontId="10" fillId="22" borderId="17" xfId="13" applyNumberFormat="1" applyFont="1" applyFill="1" applyBorder="1"/>
    <xf numFmtId="172" fontId="9" fillId="22" borderId="13" xfId="13" applyNumberFormat="1" applyFont="1" applyFill="1" applyBorder="1"/>
    <xf numFmtId="172" fontId="9" fillId="22" borderId="24" xfId="13" applyNumberFormat="1" applyFont="1" applyFill="1" applyBorder="1"/>
    <xf numFmtId="44" fontId="9" fillId="22" borderId="24" xfId="13" applyNumberFormat="1" applyFont="1" applyFill="1" applyBorder="1"/>
    <xf numFmtId="0" fontId="36" fillId="22" borderId="5" xfId="13" applyFont="1" applyFill="1"/>
    <xf numFmtId="40" fontId="10" fillId="22" borderId="5" xfId="13" applyNumberFormat="1" applyFont="1" applyFill="1"/>
    <xf numFmtId="4" fontId="9" fillId="22" borderId="5" xfId="13" applyNumberFormat="1" applyFont="1" applyFill="1"/>
    <xf numFmtId="4" fontId="9" fillId="22" borderId="5" xfId="13" applyNumberFormat="1" applyFont="1" applyFill="1" applyAlignment="1">
      <alignment horizontal="right"/>
    </xf>
    <xf numFmtId="4" fontId="9" fillId="22" borderId="26" xfId="13" applyNumberFormat="1" applyFont="1" applyFill="1" applyBorder="1" applyAlignment="1">
      <alignment horizontal="right"/>
    </xf>
    <xf numFmtId="4" fontId="9" fillId="22" borderId="31" xfId="13" applyNumberFormat="1" applyFont="1" applyFill="1" applyBorder="1"/>
    <xf numFmtId="4" fontId="6" fillId="22" borderId="5" xfId="13" applyNumberFormat="1" applyFill="1"/>
    <xf numFmtId="0" fontId="56" fillId="22" borderId="41" xfId="45" applyFont="1" applyFill="1" applyBorder="1"/>
    <xf numFmtId="0" fontId="56" fillId="22" borderId="45" xfId="45" applyFont="1" applyFill="1" applyBorder="1"/>
    <xf numFmtId="1" fontId="10" fillId="22" borderId="37" xfId="13" applyNumberFormat="1" applyFont="1" applyFill="1" applyBorder="1"/>
    <xf numFmtId="1" fontId="10" fillId="22" borderId="5" xfId="13" applyNumberFormat="1" applyFont="1" applyFill="1"/>
    <xf numFmtId="0" fontId="6" fillId="22" borderId="5" xfId="45" applyFill="1"/>
    <xf numFmtId="0" fontId="68" fillId="22" borderId="5" xfId="45" applyFont="1" applyFill="1"/>
    <xf numFmtId="0" fontId="9" fillId="22" borderId="5" xfId="13" applyFont="1" applyFill="1" applyAlignment="1">
      <alignment horizontal="right"/>
    </xf>
    <xf numFmtId="0" fontId="9" fillId="22" borderId="37" xfId="45" applyFont="1" applyFill="1" applyBorder="1"/>
    <xf numFmtId="187" fontId="9" fillId="22" borderId="40" xfId="13" applyNumberFormat="1" applyFont="1" applyFill="1" applyBorder="1"/>
    <xf numFmtId="1" fontId="60" fillId="22" borderId="5" xfId="13" applyNumberFormat="1" applyFont="1" applyFill="1"/>
    <xf numFmtId="1" fontId="9" fillId="22" borderId="5" xfId="13" applyNumberFormat="1" applyFont="1" applyFill="1" applyAlignment="1">
      <alignment horizontal="right"/>
    </xf>
    <xf numFmtId="38" fontId="9" fillId="22" borderId="5" xfId="13" applyNumberFormat="1" applyFont="1" applyFill="1" applyAlignment="1">
      <alignment horizontal="right"/>
    </xf>
    <xf numFmtId="191" fontId="68" fillId="22" borderId="40" xfId="45" applyNumberFormat="1" applyFont="1" applyFill="1" applyBorder="1" applyAlignment="1">
      <alignment vertical="center" wrapText="1"/>
    </xf>
    <xf numFmtId="40" fontId="60" fillId="22" borderId="5" xfId="13" applyNumberFormat="1" applyFont="1" applyFill="1"/>
    <xf numFmtId="43" fontId="9" fillId="22" borderId="5" xfId="14" applyFont="1" applyFill="1" applyBorder="1" applyAlignment="1">
      <alignment horizontal="right"/>
    </xf>
    <xf numFmtId="187" fontId="9" fillId="22" borderId="5" xfId="13" applyNumberFormat="1" applyFont="1" applyFill="1" applyAlignment="1">
      <alignment horizontal="right"/>
    </xf>
    <xf numFmtId="187" fontId="9" fillId="22" borderId="40" xfId="13" applyNumberFormat="1" applyFont="1" applyFill="1" applyBorder="1" applyAlignment="1">
      <alignment horizontal="right" vertical="center"/>
    </xf>
    <xf numFmtId="187" fontId="9" fillId="22" borderId="37" xfId="13" applyNumberFormat="1" applyFont="1" applyFill="1" applyBorder="1" applyAlignment="1">
      <alignment horizontal="right"/>
    </xf>
    <xf numFmtId="184" fontId="68" fillId="22" borderId="5" xfId="45" applyNumberFormat="1" applyFont="1" applyFill="1" applyAlignment="1">
      <alignment vertical="center"/>
    </xf>
    <xf numFmtId="0" fontId="68" fillId="22" borderId="40" xfId="45" applyFont="1" applyFill="1" applyBorder="1" applyAlignment="1">
      <alignment vertical="center"/>
    </xf>
    <xf numFmtId="0" fontId="68" fillId="22" borderId="5" xfId="14" applyNumberFormat="1" applyFont="1" applyFill="1" applyBorder="1" applyAlignment="1">
      <alignment horizontal="right" vertical="center"/>
    </xf>
    <xf numFmtId="187" fontId="68" fillId="22" borderId="5" xfId="14" applyNumberFormat="1" applyFont="1" applyFill="1" applyBorder="1" applyAlignment="1">
      <alignment horizontal="right" vertical="center"/>
    </xf>
    <xf numFmtId="178" fontId="6" fillId="22" borderId="5" xfId="45" applyNumberFormat="1" applyFill="1"/>
    <xf numFmtId="43" fontId="9" fillId="22" borderId="40" xfId="13" applyNumberFormat="1" applyFont="1" applyFill="1" applyBorder="1"/>
    <xf numFmtId="1" fontId="10" fillId="22" borderId="26" xfId="13" applyNumberFormat="1" applyFont="1" applyFill="1" applyBorder="1"/>
    <xf numFmtId="0" fontId="68" fillId="22" borderId="26" xfId="14" applyNumberFormat="1" applyFont="1" applyFill="1" applyBorder="1" applyAlignment="1">
      <alignment horizontal="right" vertical="center"/>
    </xf>
    <xf numFmtId="178" fontId="6" fillId="22" borderId="26" xfId="45" applyNumberFormat="1" applyFill="1" applyBorder="1"/>
    <xf numFmtId="0" fontId="6" fillId="22" borderId="25" xfId="13" applyFill="1" applyBorder="1"/>
    <xf numFmtId="187" fontId="10" fillId="22" borderId="5" xfId="13" applyNumberFormat="1" applyFont="1" applyFill="1"/>
    <xf numFmtId="187" fontId="10" fillId="22" borderId="40" xfId="13" applyNumberFormat="1" applyFont="1" applyFill="1" applyBorder="1"/>
    <xf numFmtId="187" fontId="6" fillId="22" borderId="25" xfId="13" applyNumberFormat="1" applyFill="1" applyBorder="1"/>
    <xf numFmtId="40" fontId="6" fillId="22" borderId="25" xfId="13" applyNumberFormat="1" applyFill="1" applyBorder="1"/>
    <xf numFmtId="184" fontId="6" fillId="22" borderId="25" xfId="13" applyNumberFormat="1" applyFill="1" applyBorder="1"/>
    <xf numFmtId="0" fontId="6" fillId="22" borderId="5" xfId="13" applyFill="1"/>
    <xf numFmtId="43" fontId="6" fillId="22" borderId="25" xfId="13" applyNumberFormat="1" applyFill="1" applyBorder="1"/>
    <xf numFmtId="0" fontId="10" fillId="22" borderId="5" xfId="13" applyFont="1" applyFill="1"/>
    <xf numFmtId="0" fontId="12" fillId="22" borderId="5" xfId="13" applyFont="1" applyFill="1" applyAlignment="1">
      <alignment horizontal="center"/>
    </xf>
    <xf numFmtId="173" fontId="10" fillId="22" borderId="5" xfId="13" applyNumberFormat="1" applyFont="1" applyFill="1"/>
    <xf numFmtId="188" fontId="62" fillId="22" borderId="5" xfId="13" applyNumberFormat="1" applyFont="1" applyFill="1" applyAlignment="1">
      <alignment horizontal="right"/>
    </xf>
    <xf numFmtId="0" fontId="62" fillId="22" borderId="5" xfId="13" applyFont="1" applyFill="1"/>
    <xf numFmtId="187" fontId="62" fillId="22" borderId="5" xfId="13" applyNumberFormat="1" applyFont="1" applyFill="1" applyAlignment="1">
      <alignment horizontal="right"/>
    </xf>
    <xf numFmtId="0" fontId="10" fillId="22" borderId="5" xfId="13" applyFont="1" applyFill="1" applyAlignment="1">
      <alignment horizontal="left"/>
    </xf>
    <xf numFmtId="4" fontId="10" fillId="22" borderId="5" xfId="13" applyNumberFormat="1" applyFont="1" applyFill="1"/>
    <xf numFmtId="187" fontId="35" fillId="22" borderId="40" xfId="13" applyNumberFormat="1" applyFont="1" applyFill="1" applyBorder="1" applyAlignment="1">
      <alignment horizontal="right"/>
    </xf>
    <xf numFmtId="187" fontId="9" fillId="22" borderId="5" xfId="13" applyNumberFormat="1" applyFont="1" applyFill="1" applyAlignment="1">
      <alignment horizontal="left"/>
    </xf>
    <xf numFmtId="4" fontId="10" fillId="22" borderId="5" xfId="13" applyNumberFormat="1" applyFont="1" applyFill="1" applyAlignment="1">
      <alignment horizontal="left"/>
    </xf>
    <xf numFmtId="187" fontId="9" fillId="22" borderId="5" xfId="2" applyNumberFormat="1" applyFont="1" applyFill="1" applyAlignment="1">
      <alignment horizontal="left" wrapText="1"/>
    </xf>
    <xf numFmtId="0" fontId="10" fillId="22" borderId="5" xfId="2" applyFont="1" applyFill="1"/>
    <xf numFmtId="4" fontId="10" fillId="22" borderId="30" xfId="13" applyNumberFormat="1" applyFont="1" applyFill="1" applyBorder="1"/>
    <xf numFmtId="4" fontId="10" fillId="22" borderId="5" xfId="13" quotePrefix="1" applyNumberFormat="1" applyFont="1" applyFill="1"/>
    <xf numFmtId="1" fontId="10" fillId="22" borderId="43" xfId="13" applyNumberFormat="1" applyFont="1" applyFill="1" applyBorder="1"/>
    <xf numFmtId="187" fontId="10" fillId="22" borderId="26" xfId="13" applyNumberFormat="1" applyFont="1" applyFill="1" applyBorder="1"/>
    <xf numFmtId="187" fontId="10" fillId="22" borderId="44" xfId="13" applyNumberFormat="1" applyFont="1" applyFill="1" applyBorder="1"/>
    <xf numFmtId="187" fontId="9" fillId="22" borderId="5" xfId="13" applyNumberFormat="1" applyFont="1" applyFill="1"/>
    <xf numFmtId="187" fontId="9" fillId="22" borderId="24" xfId="13" applyNumberFormat="1" applyFont="1" applyFill="1" applyBorder="1"/>
    <xf numFmtId="0" fontId="16" fillId="0" borderId="5" xfId="13" applyFont="1"/>
    <xf numFmtId="40" fontId="16" fillId="0" borderId="5" xfId="13" applyNumberFormat="1" applyFont="1"/>
    <xf numFmtId="0" fontId="12" fillId="0" borderId="5" xfId="13" applyFont="1"/>
    <xf numFmtId="0" fontId="11" fillId="0" borderId="5" xfId="13" applyFont="1"/>
    <xf numFmtId="38" fontId="11" fillId="0" borderId="5" xfId="13" applyNumberFormat="1" applyFont="1"/>
    <xf numFmtId="40" fontId="11" fillId="0" borderId="5" xfId="13" applyNumberFormat="1" applyFont="1"/>
    <xf numFmtId="184" fontId="11" fillId="0" borderId="5" xfId="13" applyNumberFormat="1" applyFont="1"/>
    <xf numFmtId="38" fontId="16" fillId="0" borderId="5" xfId="13" applyNumberFormat="1" applyFont="1"/>
    <xf numFmtId="173" fontId="16" fillId="0" borderId="5" xfId="13" applyNumberFormat="1" applyFont="1"/>
    <xf numFmtId="43" fontId="16" fillId="0" borderId="5" xfId="14" applyFont="1" applyFill="1" applyBorder="1"/>
    <xf numFmtId="184" fontId="16" fillId="0" borderId="5" xfId="13" applyNumberFormat="1" applyFont="1"/>
    <xf numFmtId="190" fontId="16" fillId="0" borderId="5" xfId="13" applyNumberFormat="1" applyFont="1"/>
    <xf numFmtId="177" fontId="17" fillId="0" borderId="5" xfId="13" applyNumberFormat="1" applyFont="1"/>
    <xf numFmtId="172" fontId="17" fillId="0" borderId="5" xfId="13" applyNumberFormat="1" applyFont="1"/>
    <xf numFmtId="172" fontId="16" fillId="0" borderId="5" xfId="13" applyNumberFormat="1" applyFont="1"/>
    <xf numFmtId="172" fontId="16" fillId="22" borderId="5" xfId="13" applyNumberFormat="1" applyFont="1" applyFill="1"/>
    <xf numFmtId="0" fontId="16" fillId="22" borderId="5" xfId="13" applyFont="1" applyFill="1"/>
    <xf numFmtId="44" fontId="16" fillId="22" borderId="5" xfId="13" applyNumberFormat="1" applyFont="1" applyFill="1"/>
    <xf numFmtId="0" fontId="9" fillId="22" borderId="26" xfId="13" applyFont="1" applyFill="1" applyBorder="1"/>
    <xf numFmtId="4" fontId="9" fillId="22" borderId="26" xfId="13" applyNumberFormat="1" applyFont="1" applyFill="1" applyBorder="1"/>
    <xf numFmtId="0" fontId="56" fillId="22" borderId="63" xfId="45" applyFont="1" applyFill="1" applyBorder="1"/>
    <xf numFmtId="0" fontId="6" fillId="0" borderId="37" xfId="13" applyBorder="1" applyAlignment="1">
      <alignment horizontal="center"/>
    </xf>
    <xf numFmtId="0" fontId="6" fillId="0" borderId="43" xfId="13" applyBorder="1" applyAlignment="1">
      <alignment horizontal="center"/>
    </xf>
    <xf numFmtId="0" fontId="56" fillId="22" borderId="42" xfId="45" applyFont="1" applyFill="1" applyBorder="1"/>
    <xf numFmtId="0" fontId="6" fillId="22" borderId="37" xfId="13" applyFill="1" applyBorder="1"/>
    <xf numFmtId="0" fontId="6" fillId="22" borderId="40" xfId="13" applyFill="1" applyBorder="1"/>
    <xf numFmtId="43" fontId="6" fillId="22" borderId="5" xfId="14" applyFont="1" applyFill="1" applyBorder="1"/>
    <xf numFmtId="0" fontId="6" fillId="22" borderId="5" xfId="14" applyNumberFormat="1" applyFont="1" applyFill="1" applyBorder="1"/>
    <xf numFmtId="187" fontId="6" fillId="22" borderId="5" xfId="14" applyNumberFormat="1" applyFont="1" applyFill="1" applyBorder="1"/>
    <xf numFmtId="43" fontId="10" fillId="22" borderId="5" xfId="14" applyFont="1" applyFill="1" applyBorder="1"/>
    <xf numFmtId="0" fontId="11" fillId="22" borderId="5" xfId="14" applyNumberFormat="1" applyFont="1" applyFill="1" applyBorder="1"/>
    <xf numFmtId="187" fontId="11" fillId="22" borderId="5" xfId="14" applyNumberFormat="1" applyFont="1" applyFill="1" applyBorder="1"/>
    <xf numFmtId="43" fontId="11" fillId="22" borderId="5" xfId="14" applyFont="1" applyFill="1" applyBorder="1"/>
    <xf numFmtId="187" fontId="11" fillId="22" borderId="5" xfId="14" applyNumberFormat="1" applyFont="1" applyFill="1" applyBorder="1" applyAlignment="1">
      <alignment horizontal="center"/>
    </xf>
    <xf numFmtId="43" fontId="9" fillId="22" borderId="5" xfId="14" applyFont="1" applyFill="1" applyBorder="1"/>
    <xf numFmtId="1" fontId="6" fillId="22" borderId="5" xfId="13" applyNumberFormat="1" applyFill="1"/>
    <xf numFmtId="38" fontId="6" fillId="22" borderId="5" xfId="13" applyNumberFormat="1" applyFill="1"/>
    <xf numFmtId="43" fontId="6" fillId="22" borderId="5" xfId="13" applyNumberFormat="1" applyFill="1"/>
    <xf numFmtId="38" fontId="10" fillId="22" borderId="5" xfId="13" applyNumberFormat="1" applyFont="1" applyFill="1"/>
    <xf numFmtId="187" fontId="11" fillId="22" borderId="5" xfId="13" applyNumberFormat="1" applyFont="1" applyFill="1"/>
    <xf numFmtId="38" fontId="9" fillId="22" borderId="5" xfId="13" applyNumberFormat="1" applyFont="1" applyFill="1"/>
    <xf numFmtId="0" fontId="6" fillId="22" borderId="35" xfId="13" applyFill="1" applyBorder="1"/>
    <xf numFmtId="0" fontId="82" fillId="22" borderId="5" xfId="13" applyFont="1" applyFill="1" applyAlignment="1">
      <alignment horizontal="center"/>
    </xf>
    <xf numFmtId="173" fontId="9" fillId="22" borderId="5" xfId="13" applyNumberFormat="1" applyFont="1" applyFill="1"/>
    <xf numFmtId="0" fontId="10" fillId="22" borderId="37" xfId="13" applyFont="1" applyFill="1" applyBorder="1"/>
    <xf numFmtId="0" fontId="9" fillId="22" borderId="43" xfId="13" applyFont="1" applyFill="1" applyBorder="1"/>
    <xf numFmtId="0" fontId="22" fillId="0" borderId="0" xfId="0" applyFont="1" applyAlignment="1">
      <alignment vertical="top"/>
    </xf>
    <xf numFmtId="1" fontId="56" fillId="5" borderId="12" xfId="0" quotePrefix="1" applyNumberFormat="1" applyFont="1" applyFill="1" applyBorder="1" applyAlignment="1">
      <alignment horizontal="left"/>
    </xf>
    <xf numFmtId="197" fontId="6" fillId="0" borderId="5" xfId="22" applyNumberFormat="1"/>
    <xf numFmtId="0" fontId="6" fillId="22" borderId="0" xfId="0" applyFont="1" applyFill="1" applyAlignment="1">
      <alignment horizontal="center"/>
    </xf>
    <xf numFmtId="9" fontId="9" fillId="0" borderId="5" xfId="18" applyFont="1" applyFill="1" applyBorder="1" applyAlignment="1">
      <alignment horizontal="right"/>
    </xf>
    <xf numFmtId="188" fontId="10" fillId="0" borderId="5" xfId="2" applyNumberFormat="1" applyFont="1" applyAlignment="1">
      <alignment horizontal="right"/>
    </xf>
    <xf numFmtId="38" fontId="6" fillId="0" borderId="22" xfId="22" applyNumberFormat="1" applyBorder="1"/>
    <xf numFmtId="38" fontId="6" fillId="0" borderId="13" xfId="22" applyNumberFormat="1" applyBorder="1"/>
    <xf numFmtId="40" fontId="10" fillId="0" borderId="5" xfId="2" applyNumberFormat="1" applyFont="1" applyAlignment="1">
      <alignment horizontal="right"/>
    </xf>
    <xf numFmtId="38" fontId="6" fillId="0" borderId="23" xfId="22" applyNumberFormat="1" applyBorder="1"/>
    <xf numFmtId="38" fontId="6" fillId="0" borderId="24" xfId="22" applyNumberFormat="1" applyBorder="1"/>
    <xf numFmtId="40" fontId="8" fillId="0" borderId="5" xfId="22" applyNumberFormat="1" applyFont="1"/>
    <xf numFmtId="40" fontId="36" fillId="0" borderId="12" xfId="22" applyNumberFormat="1" applyFont="1" applyBorder="1"/>
    <xf numFmtId="1" fontId="6" fillId="0" borderId="5" xfId="22" applyNumberFormat="1" applyAlignment="1">
      <alignment horizontal="center"/>
    </xf>
    <xf numFmtId="0" fontId="6" fillId="0" borderId="5" xfId="13" quotePrefix="1"/>
    <xf numFmtId="38" fontId="36" fillId="0" borderId="12" xfId="22" applyNumberFormat="1" applyFont="1" applyBorder="1" applyAlignment="1">
      <alignment wrapText="1"/>
    </xf>
    <xf numFmtId="43" fontId="6" fillId="0" borderId="5" xfId="22" quotePrefix="1" applyNumberFormat="1"/>
    <xf numFmtId="1" fontId="6" fillId="0" borderId="5" xfId="22" applyNumberFormat="1"/>
    <xf numFmtId="38" fontId="36" fillId="0" borderId="23" xfId="22" applyNumberFormat="1" applyFont="1" applyBorder="1"/>
    <xf numFmtId="38" fontId="36" fillId="0" borderId="12" xfId="22" applyNumberFormat="1" applyFont="1" applyBorder="1"/>
    <xf numFmtId="38" fontId="36" fillId="0" borderId="52" xfId="22" applyNumberFormat="1" applyFont="1" applyBorder="1"/>
    <xf numFmtId="40" fontId="36" fillId="0" borderId="5" xfId="22" applyNumberFormat="1" applyFont="1"/>
    <xf numFmtId="198" fontId="6" fillId="0" borderId="5" xfId="22" applyNumberFormat="1"/>
    <xf numFmtId="0" fontId="36" fillId="0" borderId="12" xfId="13" applyFont="1" applyBorder="1"/>
    <xf numFmtId="0" fontId="93" fillId="0" borderId="5" xfId="2" quotePrefix="1" applyFont="1"/>
    <xf numFmtId="0" fontId="56" fillId="0" borderId="5" xfId="2" applyFont="1"/>
    <xf numFmtId="189" fontId="56" fillId="0" borderId="5" xfId="2" applyNumberFormat="1" applyFont="1"/>
    <xf numFmtId="38" fontId="36" fillId="0" borderId="12" xfId="13" applyNumberFormat="1" applyFont="1" applyBorder="1"/>
    <xf numFmtId="0" fontId="6" fillId="0" borderId="22" xfId="22" applyBorder="1"/>
    <xf numFmtId="40" fontId="36" fillId="0" borderId="12" xfId="13" applyNumberFormat="1" applyFont="1" applyBorder="1"/>
    <xf numFmtId="189" fontId="6" fillId="0" borderId="23" xfId="22" applyNumberFormat="1" applyBorder="1"/>
    <xf numFmtId="40" fontId="10" fillId="22" borderId="5" xfId="2" applyNumberFormat="1" applyFont="1" applyFill="1"/>
    <xf numFmtId="40" fontId="4" fillId="22" borderId="5" xfId="5" applyFont="1" applyFill="1" applyBorder="1" applyAlignment="1">
      <alignment vertical="center"/>
    </xf>
    <xf numFmtId="40" fontId="4" fillId="22" borderId="5" xfId="5" applyFont="1" applyFill="1" applyAlignment="1">
      <alignment vertical="center"/>
    </xf>
    <xf numFmtId="40" fontId="4" fillId="22" borderId="23" xfId="5" applyFont="1" applyFill="1" applyBorder="1" applyAlignment="1">
      <alignment vertical="center"/>
    </xf>
    <xf numFmtId="40" fontId="10" fillId="22" borderId="13" xfId="2" applyNumberFormat="1" applyFont="1" applyFill="1" applyBorder="1"/>
    <xf numFmtId="40" fontId="4" fillId="22" borderId="13" xfId="5" applyFont="1" applyFill="1" applyBorder="1" applyAlignment="1">
      <alignment vertical="center"/>
    </xf>
    <xf numFmtId="40" fontId="4" fillId="22" borderId="24" xfId="5" applyFont="1" applyFill="1" applyBorder="1"/>
    <xf numFmtId="10" fontId="4" fillId="22" borderId="5" xfId="4" applyNumberFormat="1" applyFill="1">
      <alignment vertical="center"/>
    </xf>
    <xf numFmtId="0" fontId="4" fillId="22" borderId="5" xfId="4" applyFill="1">
      <alignment vertical="center"/>
    </xf>
    <xf numFmtId="40" fontId="4" fillId="0" borderId="5" xfId="4" applyNumberFormat="1">
      <alignment vertical="center"/>
    </xf>
    <xf numFmtId="40" fontId="4" fillId="0" borderId="14" xfId="5" applyFont="1" applyBorder="1" applyAlignment="1">
      <alignment horizontal="right"/>
    </xf>
    <xf numFmtId="177" fontId="36" fillId="0" borderId="10" xfId="0" applyNumberFormat="1" applyFont="1" applyBorder="1"/>
    <xf numFmtId="177" fontId="36" fillId="0" borderId="12" xfId="0" applyNumberFormat="1" applyFont="1" applyBorder="1"/>
    <xf numFmtId="40" fontId="36" fillId="0" borderId="12" xfId="0" applyNumberFormat="1" applyFont="1" applyBorder="1"/>
    <xf numFmtId="177" fontId="36" fillId="5" borderId="10" xfId="0" applyNumberFormat="1" applyFont="1" applyFill="1" applyBorder="1"/>
    <xf numFmtId="0" fontId="36" fillId="5" borderId="12" xfId="0" applyFont="1" applyFill="1" applyBorder="1" applyAlignment="1">
      <alignment horizontal="left"/>
    </xf>
    <xf numFmtId="177" fontId="36" fillId="5" borderId="12" xfId="0" applyNumberFormat="1" applyFont="1" applyFill="1" applyBorder="1"/>
    <xf numFmtId="40" fontId="36" fillId="5" borderId="12" xfId="0" applyNumberFormat="1" applyFont="1" applyFill="1" applyBorder="1"/>
    <xf numFmtId="178" fontId="4" fillId="0" borderId="5" xfId="4" applyNumberFormat="1">
      <alignment vertical="center"/>
    </xf>
    <xf numFmtId="197" fontId="4" fillId="0" borderId="5" xfId="4" applyNumberFormat="1">
      <alignment vertical="center"/>
    </xf>
    <xf numFmtId="0" fontId="36" fillId="0" borderId="12" xfId="13" applyFont="1" applyBorder="1" applyAlignment="1">
      <alignment horizontal="right"/>
    </xf>
    <xf numFmtId="188" fontId="36" fillId="0" borderId="12" xfId="2" applyNumberFormat="1" applyFont="1" applyBorder="1" applyAlignment="1">
      <alignment wrapText="1"/>
    </xf>
    <xf numFmtId="187" fontId="36" fillId="0" borderId="12" xfId="0" quotePrefix="1" applyNumberFormat="1" applyFont="1" applyBorder="1"/>
    <xf numFmtId="177" fontId="8" fillId="0" borderId="5" xfId="0" applyNumberFormat="1" applyFont="1" applyBorder="1"/>
    <xf numFmtId="0" fontId="8" fillId="0" borderId="6" xfId="0" applyFont="1" applyBorder="1"/>
    <xf numFmtId="40" fontId="8" fillId="0" borderId="6" xfId="0" quotePrefix="1" applyNumberFormat="1" applyFont="1" applyBorder="1"/>
    <xf numFmtId="0" fontId="6" fillId="0" borderId="5" xfId="0" applyFont="1" applyBorder="1" applyAlignment="1">
      <alignment wrapText="1"/>
    </xf>
    <xf numFmtId="187" fontId="4" fillId="0" borderId="12" xfId="0" applyNumberFormat="1" applyFont="1" applyBorder="1"/>
    <xf numFmtId="187" fontId="36" fillId="0" borderId="12" xfId="0" applyNumberFormat="1" applyFont="1" applyBorder="1" applyAlignment="1">
      <alignment horizontal="left"/>
    </xf>
    <xf numFmtId="4" fontId="6" fillId="0" borderId="5" xfId="13" applyNumberFormat="1"/>
    <xf numFmtId="49" fontId="36" fillId="0" borderId="12" xfId="0" applyNumberFormat="1" applyFont="1" applyBorder="1" applyAlignment="1">
      <alignment horizontal="left"/>
    </xf>
    <xf numFmtId="0" fontId="36" fillId="0" borderId="0" xfId="0" applyFont="1" applyAlignment="1">
      <alignment horizontal="left"/>
    </xf>
    <xf numFmtId="49" fontId="6" fillId="0" borderId="12" xfId="0" applyNumberFormat="1" applyFont="1" applyBorder="1" applyAlignment="1">
      <alignment horizontal="left"/>
    </xf>
    <xf numFmtId="177" fontId="6" fillId="0" borderId="5" xfId="0" applyNumberFormat="1" applyFont="1" applyBorder="1" applyAlignment="1">
      <alignment wrapText="1"/>
    </xf>
    <xf numFmtId="0" fontId="36" fillId="0" borderId="12" xfId="40" applyFont="1" applyBorder="1" applyAlignment="1">
      <alignment horizontal="left"/>
    </xf>
    <xf numFmtId="49" fontId="36" fillId="0" borderId="10" xfId="0" applyNumberFormat="1" applyFont="1" applyBorder="1" applyAlignment="1">
      <alignment horizontal="left"/>
    </xf>
    <xf numFmtId="49" fontId="36" fillId="0" borderId="12" xfId="0" applyNumberFormat="1" applyFont="1" applyBorder="1"/>
    <xf numFmtId="49" fontId="6" fillId="0" borderId="12" xfId="0" applyNumberFormat="1" applyFont="1" applyBorder="1"/>
    <xf numFmtId="40" fontId="0" fillId="0" borderId="5" xfId="14" applyNumberFormat="1" applyFont="1"/>
    <xf numFmtId="40" fontId="4" fillId="0" borderId="34" xfId="22" applyNumberFormat="1" applyFont="1" applyBorder="1"/>
    <xf numFmtId="40" fontId="6" fillId="0" borderId="14" xfId="24" applyNumberFormat="1" applyBorder="1"/>
    <xf numFmtId="40" fontId="6" fillId="0" borderId="24" xfId="24" applyNumberFormat="1" applyBorder="1"/>
    <xf numFmtId="40" fontId="8" fillId="0" borderId="56" xfId="24" applyNumberFormat="1" applyFont="1" applyBorder="1"/>
    <xf numFmtId="40" fontId="6" fillId="0" borderId="22" xfId="24" applyNumberFormat="1" applyBorder="1"/>
    <xf numFmtId="40" fontId="6" fillId="0" borderId="57" xfId="24" applyNumberFormat="1" applyBorder="1"/>
    <xf numFmtId="40" fontId="6" fillId="0" borderId="58" xfId="24" applyNumberFormat="1" applyBorder="1"/>
    <xf numFmtId="38" fontId="6" fillId="0" borderId="59" xfId="24" applyNumberFormat="1" applyBorder="1"/>
    <xf numFmtId="40" fontId="6" fillId="0" borderId="64" xfId="24" applyNumberFormat="1" applyBorder="1"/>
    <xf numFmtId="40" fontId="6" fillId="0" borderId="59" xfId="24" applyNumberFormat="1" applyBorder="1"/>
    <xf numFmtId="40" fontId="6" fillId="0" borderId="65" xfId="24" applyNumberFormat="1" applyBorder="1"/>
    <xf numFmtId="40" fontId="6" fillId="0" borderId="60" xfId="24" applyNumberFormat="1" applyBorder="1"/>
    <xf numFmtId="40" fontId="6" fillId="0" borderId="61" xfId="24" applyNumberFormat="1" applyBorder="1"/>
    <xf numFmtId="171" fontId="10" fillId="0" borderId="5" xfId="23" applyNumberFormat="1" applyFont="1" applyAlignment="1">
      <alignment horizontal="centerContinuous"/>
    </xf>
    <xf numFmtId="191" fontId="6" fillId="0" borderId="0" xfId="0" quotePrefix="1" applyNumberFormat="1" applyFont="1"/>
    <xf numFmtId="0" fontId="86" fillId="0" borderId="66" xfId="0" applyFont="1" applyBorder="1" applyAlignment="1" applyProtection="1">
      <alignment horizontal="center" vertical="center"/>
      <protection locked="0"/>
    </xf>
    <xf numFmtId="40" fontId="8" fillId="0" borderId="5" xfId="24" applyNumberFormat="1" applyFont="1" applyAlignment="1">
      <alignment horizontal="center"/>
    </xf>
    <xf numFmtId="40" fontId="12" fillId="0" borderId="5" xfId="27" applyNumberFormat="1" applyFont="1" applyAlignment="1">
      <alignment horizontal="center"/>
    </xf>
    <xf numFmtId="40" fontId="17" fillId="0" borderId="5" xfId="27" applyNumberFormat="1" applyFont="1" applyAlignment="1">
      <alignment horizontal="center"/>
    </xf>
    <xf numFmtId="40" fontId="17" fillId="0" borderId="5" xfId="27" applyNumberFormat="1" applyFont="1" applyBorder="1" applyAlignment="1">
      <alignment horizontal="center"/>
    </xf>
    <xf numFmtId="40" fontId="72" fillId="0" borderId="29" xfId="27" applyNumberFormat="1" applyFont="1" applyBorder="1" applyAlignment="1">
      <alignment horizontal="left" vertical="center" wrapText="1"/>
    </xf>
    <xf numFmtId="0" fontId="6" fillId="0" borderId="0" xfId="0" applyFont="1" applyAlignment="1">
      <alignment horizontal="left" vertical="center" wrapText="1"/>
    </xf>
    <xf numFmtId="0" fontId="8" fillId="0" borderId="5" xfId="28" applyFont="1" applyAlignment="1">
      <alignment horizontal="center"/>
    </xf>
    <xf numFmtId="0" fontId="3" fillId="0" borderId="0" xfId="0" applyFont="1" applyAlignment="1">
      <alignment horizontal="center"/>
    </xf>
    <xf numFmtId="0" fontId="0" fillId="0" borderId="0" xfId="0"/>
    <xf numFmtId="0" fontId="0" fillId="0" borderId="5" xfId="0" applyBorder="1"/>
    <xf numFmtId="0" fontId="7" fillId="0" borderId="0" xfId="0" applyFont="1" applyAlignment="1">
      <alignment horizontal="center"/>
    </xf>
    <xf numFmtId="0" fontId="8" fillId="0" borderId="0" xfId="0" applyFont="1" applyAlignment="1">
      <alignment horizontal="center"/>
    </xf>
    <xf numFmtId="0" fontId="8" fillId="0" borderId="28" xfId="0" applyFont="1" applyBorder="1" applyAlignment="1">
      <alignment horizontal="left" vertical="center" wrapText="1"/>
    </xf>
    <xf numFmtId="0" fontId="8" fillId="0" borderId="28" xfId="0" applyFont="1" applyBorder="1" applyAlignment="1">
      <alignment horizontal="left" vertical="center"/>
    </xf>
    <xf numFmtId="0" fontId="100" fillId="15" borderId="48" xfId="2" applyFont="1" applyFill="1" applyBorder="1" applyAlignment="1">
      <alignment horizontal="center"/>
    </xf>
    <xf numFmtId="0" fontId="100" fillId="15" borderId="2" xfId="2" applyFont="1" applyFill="1" applyBorder="1" applyAlignment="1">
      <alignment horizontal="center"/>
    </xf>
    <xf numFmtId="0" fontId="100" fillId="15" borderId="49" xfId="2" applyFont="1" applyFill="1" applyBorder="1" applyAlignment="1">
      <alignment horizontal="center"/>
    </xf>
    <xf numFmtId="0" fontId="100" fillId="14" borderId="46" xfId="2" applyFont="1" applyFill="1" applyBorder="1" applyAlignment="1">
      <alignment horizontal="center"/>
    </xf>
    <xf numFmtId="0" fontId="100" fillId="14" borderId="1" xfId="2" applyFont="1" applyFill="1" applyBorder="1" applyAlignment="1">
      <alignment horizontal="center"/>
    </xf>
    <xf numFmtId="0" fontId="100" fillId="14" borderId="47" xfId="2" applyFont="1" applyFill="1" applyBorder="1" applyAlignment="1">
      <alignment horizontal="center"/>
    </xf>
    <xf numFmtId="0" fontId="8" fillId="0" borderId="13" xfId="28" applyFont="1" applyBorder="1" applyAlignment="1">
      <alignment horizontal="center"/>
    </xf>
    <xf numFmtId="40" fontId="72" fillId="0" borderId="27" xfId="27" applyNumberFormat="1" applyFont="1" applyBorder="1" applyAlignment="1">
      <alignment horizontal="left" vertical="center" wrapText="1"/>
    </xf>
    <xf numFmtId="0" fontId="3" fillId="0" borderId="15" xfId="4" applyFont="1" applyBorder="1" applyAlignment="1">
      <alignment horizontal="center" vertical="center"/>
    </xf>
    <xf numFmtId="0" fontId="7" fillId="0" borderId="5" xfId="28" applyFont="1" applyAlignment="1">
      <alignment horizontal="center"/>
    </xf>
    <xf numFmtId="40" fontId="7" fillId="0" borderId="5" xfId="28" applyNumberFormat="1" applyFont="1" applyAlignment="1">
      <alignment horizontal="center"/>
    </xf>
    <xf numFmtId="0" fontId="6" fillId="0" borderId="5" xfId="22" applyAlignment="1">
      <alignment horizontal="left" vertical="center" wrapText="1"/>
    </xf>
    <xf numFmtId="0" fontId="21" fillId="0" borderId="5" xfId="41" applyFont="1" applyAlignment="1">
      <alignment horizontal="left"/>
    </xf>
    <xf numFmtId="0" fontId="87" fillId="0" borderId="5" xfId="41" applyFont="1" applyAlignment="1">
      <alignment horizontal="center"/>
    </xf>
    <xf numFmtId="0" fontId="25" fillId="0" borderId="8" xfId="0" applyFont="1" applyBorder="1" applyAlignment="1">
      <alignment wrapText="1"/>
    </xf>
    <xf numFmtId="0" fontId="4" fillId="0" borderId="1" xfId="0" applyFont="1" applyBorder="1"/>
    <xf numFmtId="0" fontId="4" fillId="0" borderId="9" xfId="0" applyFont="1" applyBorder="1"/>
    <xf numFmtId="0" fontId="27" fillId="0" borderId="0" xfId="0" applyFont="1"/>
    <xf numFmtId="0" fontId="22" fillId="0" borderId="0" xfId="0" applyFont="1"/>
    <xf numFmtId="0" fontId="4" fillId="0" borderId="7" xfId="0" applyFont="1" applyBorder="1"/>
    <xf numFmtId="0" fontId="24" fillId="0" borderId="0" xfId="0" applyFont="1"/>
    <xf numFmtId="172" fontId="21" fillId="0" borderId="0" xfId="0" applyNumberFormat="1" applyFont="1" applyAlignment="1">
      <alignment wrapText="1"/>
    </xf>
    <xf numFmtId="0" fontId="39" fillId="0" borderId="0" xfId="0" applyFont="1"/>
    <xf numFmtId="0" fontId="40" fillId="0" borderId="0" xfId="0" applyFont="1"/>
    <xf numFmtId="0" fontId="23" fillId="0" borderId="0" xfId="0" applyFont="1" applyAlignment="1">
      <alignment horizontal="right"/>
    </xf>
    <xf numFmtId="170" fontId="21" fillId="0" borderId="0" xfId="0" applyNumberFormat="1" applyFont="1"/>
    <xf numFmtId="0" fontId="23" fillId="0" borderId="0" xfId="0" applyFont="1"/>
    <xf numFmtId="0" fontId="21" fillId="2" borderId="0" xfId="0" applyFont="1" applyFill="1" applyAlignment="1">
      <alignment horizontal="right"/>
    </xf>
    <xf numFmtId="0" fontId="6" fillId="0" borderId="0" xfId="0" applyFont="1" applyAlignment="1">
      <alignment horizontal="center"/>
    </xf>
    <xf numFmtId="0" fontId="22" fillId="0" borderId="0" xfId="0" applyFont="1" applyAlignment="1">
      <alignment vertical="top"/>
    </xf>
    <xf numFmtId="170" fontId="8" fillId="0" borderId="0" xfId="0" applyNumberFormat="1" applyFont="1" applyAlignment="1">
      <alignment horizontal="center"/>
    </xf>
    <xf numFmtId="0" fontId="33" fillId="12" borderId="5" xfId="13" applyFont="1" applyFill="1" applyAlignment="1">
      <alignment horizontal="center"/>
    </xf>
    <xf numFmtId="0" fontId="12" fillId="0" borderId="5" xfId="13" applyFont="1" applyAlignment="1">
      <alignment horizontal="center"/>
    </xf>
    <xf numFmtId="38" fontId="94" fillId="13" borderId="35" xfId="13" applyNumberFormat="1" applyFont="1" applyFill="1" applyBorder="1" applyAlignment="1">
      <alignment horizontal="center"/>
    </xf>
    <xf numFmtId="38" fontId="94" fillId="13" borderId="25" xfId="13" applyNumberFormat="1" applyFont="1" applyFill="1" applyBorder="1" applyAlignment="1">
      <alignment horizontal="center"/>
    </xf>
    <xf numFmtId="38" fontId="94" fillId="13" borderId="36" xfId="13" applyNumberFormat="1" applyFont="1" applyFill="1" applyBorder="1" applyAlignment="1">
      <alignment horizontal="center"/>
    </xf>
    <xf numFmtId="43" fontId="94" fillId="13" borderId="25" xfId="14" applyFont="1" applyFill="1" applyBorder="1" applyAlignment="1">
      <alignment horizontal="center"/>
    </xf>
    <xf numFmtId="43" fontId="94" fillId="13" borderId="36" xfId="14" applyFont="1" applyFill="1" applyBorder="1" applyAlignment="1">
      <alignment horizontal="center"/>
    </xf>
    <xf numFmtId="0" fontId="6" fillId="0" borderId="0" xfId="0" applyFont="1"/>
    <xf numFmtId="187" fontId="12" fillId="0" borderId="0" xfId="0" applyNumberFormat="1" applyFont="1" applyAlignment="1">
      <alignment horizontal="left"/>
    </xf>
    <xf numFmtId="187" fontId="9" fillId="0" borderId="0" xfId="0" applyNumberFormat="1" applyFont="1"/>
  </cellXfs>
  <cellStyles count="48">
    <cellStyle name="Comma" xfId="9" builtinId="3"/>
    <cellStyle name="Comma 2" xfId="5" xr:uid="{93F2FD85-D924-401C-9AC0-6923E978D91D}"/>
    <cellStyle name="Comma 2 2" xfId="35" xr:uid="{9036E0B0-C830-4487-87EE-EB33F0F65E07}"/>
    <cellStyle name="Comma 3" xfId="14" xr:uid="{DBBB5E8C-B946-4DD0-A613-C17897B6F2CF}"/>
    <cellStyle name="Comma 3 2" xfId="27" xr:uid="{9F07BC39-A053-4E23-98C4-45AF166581F1}"/>
    <cellStyle name="Comma 3 3" xfId="37" xr:uid="{36D4DE5E-FF97-489B-A771-DC9BF88D831E}"/>
    <cellStyle name="Comma 4" xfId="26" xr:uid="{72ADB139-D3F1-49C3-BC69-2E6AB0BE2490}"/>
    <cellStyle name="Comma 5" xfId="32" xr:uid="{9BEA2FD0-6863-43C0-89C2-833A0FCA814A}"/>
    <cellStyle name="Comma 5 2" xfId="42" xr:uid="{48623EC9-CA3F-4A90-B93D-AFC5DA8BF75B}"/>
    <cellStyle name="Comma 6" xfId="38" xr:uid="{D82D51F1-7136-4B5D-9EAA-04161051C7D1}"/>
    <cellStyle name="Comma 7" xfId="47" xr:uid="{0F210A6D-09B6-4AEF-A6BC-72CAF2879C32}"/>
    <cellStyle name="Currency" xfId="21" builtinId="4"/>
    <cellStyle name="Currency 2" xfId="15" xr:uid="{784A9FC1-9497-4BE7-8184-B67335D3C559}"/>
    <cellStyle name="Currency 3" xfId="34" xr:uid="{5901FD5C-2E75-43F9-A1E6-1870C9B94025}"/>
    <cellStyle name="Hyperlink" xfId="1" builtinId="8"/>
    <cellStyle name="Hyperlink 2" xfId="3" xr:uid="{A9356509-4F15-4F19-9CE4-A7C005E4A925}"/>
    <cellStyle name="Hyperlink 3" xfId="16" xr:uid="{97A4DB0E-E9E5-4347-9ADB-86F45DB204BD}"/>
    <cellStyle name="Normal" xfId="0" builtinId="0"/>
    <cellStyle name="Normal 10" xfId="22" xr:uid="{5A365D9F-45B3-4CB0-AE45-D337AD309168}"/>
    <cellStyle name="Normal 11" xfId="25" xr:uid="{670A99EB-6D3F-4209-A7F4-AC762A86C1D7}"/>
    <cellStyle name="Normal 11 2" xfId="40" xr:uid="{BCD520F8-2AF5-4C58-9DE0-73DF19B12CC1}"/>
    <cellStyle name="Normal 12" xfId="31" xr:uid="{4B91B0DB-6AFE-482F-9C44-09028AC861CC}"/>
    <cellStyle name="Normal 13" xfId="28" xr:uid="{7E0086C9-0872-4EAC-B296-3E615530B216}"/>
    <cellStyle name="Normal 14" xfId="39" xr:uid="{15E7680F-6465-45B8-AADC-529581B8D608}"/>
    <cellStyle name="Normal 14 2" xfId="43" xr:uid="{A1B089A9-D02D-454F-A9F5-84B76111F322}"/>
    <cellStyle name="Normal 15" xfId="44" xr:uid="{5F1F8C4A-1A26-4A8D-A0E7-A3823F939D57}"/>
    <cellStyle name="Normal 15 2" xfId="45" xr:uid="{65EEDE26-C848-416F-9DAB-0918E01D5CB6}"/>
    <cellStyle name="Normal 16" xfId="46" xr:uid="{26735757-E565-4688-8FB4-9C18C5A5ADB6}"/>
    <cellStyle name="Normal 2" xfId="4" xr:uid="{0000688F-A041-4662-9C5F-A9514B0B89BE}"/>
    <cellStyle name="Normal 2 2" xfId="36" xr:uid="{8636854C-EAC6-46DF-A095-64DF8EAE3D58}"/>
    <cellStyle name="Normal 2 2 2" xfId="41" xr:uid="{39774B97-DAD1-4338-B70B-8736CE89C126}"/>
    <cellStyle name="Normal 3" xfId="2" xr:uid="{7EF37376-BD5A-4459-B4E6-50A1CC556F90}"/>
    <cellStyle name="Normal 4" xfId="10" xr:uid="{3CAF14D3-4B93-4ED5-A13E-E14D5DEDBAB3}"/>
    <cellStyle name="Normal 5" xfId="11" xr:uid="{8AC972E5-5BCE-41D0-A505-02D5C44D159C}"/>
    <cellStyle name="Normal 5 2" xfId="13" xr:uid="{66A87180-FC22-43C1-B4CE-77C31F1DBFB6}"/>
    <cellStyle name="Normal 6" xfId="17" xr:uid="{3BF4AC35-94FF-4C2E-8CBE-B3951C88BDC7}"/>
    <cellStyle name="Normal 7" xfId="19" xr:uid="{61B5460F-75CC-47AB-9B24-94F36153C754}"/>
    <cellStyle name="Normal 7 2" xfId="23" xr:uid="{93C7A0C2-150C-4233-8BE7-668FB8A3EE66}"/>
    <cellStyle name="Normal 7 3" xfId="30" xr:uid="{D853F036-B361-4C66-84DD-F86F74A6A4A5}"/>
    <cellStyle name="Normal 8" xfId="20" xr:uid="{8BD91396-2D40-48D1-9AD3-D78D5117BDC9}"/>
    <cellStyle name="Normal 9" xfId="24" xr:uid="{2F01B144-B91B-4161-A7CA-9E02984845A2}"/>
    <cellStyle name="Normal 9 2" xfId="33" xr:uid="{814D7FBE-EF7E-41B3-AFAA-E28A8AC12745}"/>
    <cellStyle name="Normal_U1" xfId="8" xr:uid="{88BAEC25-041A-455F-AB60-02367EDB5D6D}"/>
    <cellStyle name="Percent" xfId="12" builtinId="5"/>
    <cellStyle name="Percent 2" xfId="18" xr:uid="{498DB9D3-4DFC-4D27-ACD4-FF24D3F55029}"/>
    <cellStyle name="rf1" xfId="7" xr:uid="{0F3433B0-3F24-4C43-82EA-8830634089F9}"/>
    <cellStyle name="rf2" xfId="6" xr:uid="{F33C888A-00A6-4426-8789-0363D3C48F00}"/>
    <cellStyle name="rf3" xfId="29" xr:uid="{2B5F4BFE-FCC0-45CC-873D-EC2EDB6A13A2}"/>
  </cellStyles>
  <dxfs count="374">
    <dxf>
      <font>
        <b val="0"/>
        <i val="0"/>
        <strike val="0"/>
        <condense val="0"/>
        <extend val="0"/>
        <outline val="0"/>
        <shadow val="0"/>
        <u val="none"/>
        <vertAlign val="baseline"/>
        <sz val="10"/>
        <color auto="1"/>
        <name val="Arial"/>
        <family val="2"/>
        <scheme val="none"/>
      </font>
      <numFmt numFmtId="0" formatCode="General"/>
    </dxf>
    <dxf>
      <font>
        <b val="0"/>
        <i val="0"/>
        <strike val="0"/>
        <condense val="0"/>
        <extend val="0"/>
        <outline val="0"/>
        <shadow val="0"/>
        <u val="none"/>
        <vertAlign val="baseline"/>
        <sz val="10"/>
        <color auto="1"/>
        <name val="Arial"/>
        <family val="2"/>
        <scheme val="none"/>
      </font>
    </dxf>
    <dxf>
      <font>
        <b val="0"/>
        <i val="0"/>
        <strike val="0"/>
        <condense val="0"/>
        <extend val="0"/>
        <outline val="0"/>
        <shadow val="0"/>
        <u val="none"/>
        <vertAlign val="baseline"/>
        <sz val="10"/>
        <color auto="1"/>
        <name val="Arial"/>
        <family val="2"/>
        <scheme val="none"/>
      </font>
      <fill>
        <patternFill patternType="none">
          <bgColor auto="1"/>
        </patternFill>
      </fill>
    </dxf>
    <dxf>
      <font>
        <b val="0"/>
        <i val="0"/>
        <strike val="0"/>
        <condense val="0"/>
        <extend val="0"/>
        <outline val="0"/>
        <shadow val="0"/>
        <u val="none"/>
        <vertAlign val="baseline"/>
        <sz val="10"/>
        <color auto="1"/>
        <name val="Arial"/>
        <family val="2"/>
        <scheme val="none"/>
      </font>
      <fill>
        <patternFill patternType="none">
          <bgColor auto="1"/>
        </patternFill>
      </fill>
    </dxf>
    <dxf>
      <font>
        <b val="0"/>
        <i val="0"/>
        <strike val="0"/>
        <condense val="0"/>
        <extend val="0"/>
        <outline val="0"/>
        <shadow val="0"/>
        <u val="none"/>
        <vertAlign val="baseline"/>
        <sz val="10"/>
        <color auto="1"/>
        <name val="Arial"/>
        <family val="2"/>
        <scheme val="none"/>
      </font>
      <fill>
        <patternFill patternType="none">
          <bgColor auto="1"/>
        </patternFill>
      </fill>
    </dxf>
    <dxf>
      <font>
        <b val="0"/>
        <i val="0"/>
        <strike val="0"/>
        <condense val="0"/>
        <extend val="0"/>
        <outline val="0"/>
        <shadow val="0"/>
        <u val="none"/>
        <vertAlign val="baseline"/>
        <sz val="10"/>
        <color auto="1"/>
        <name val="Arial"/>
        <family val="2"/>
        <scheme val="none"/>
      </font>
      <fill>
        <patternFill patternType="none">
          <bgColor auto="1"/>
        </patternFill>
      </fill>
    </dxf>
    <dxf>
      <font>
        <b val="0"/>
        <i val="0"/>
        <strike val="0"/>
        <condense val="0"/>
        <extend val="0"/>
        <outline val="0"/>
        <shadow val="0"/>
        <u val="none"/>
        <vertAlign val="baseline"/>
        <sz val="10"/>
        <color auto="1"/>
        <name val="Arial"/>
        <family val="2"/>
        <scheme val="none"/>
      </font>
      <fill>
        <patternFill patternType="none">
          <bgColor auto="1"/>
        </patternFill>
      </fill>
    </dxf>
    <dxf>
      <fill>
        <patternFill patternType="none">
          <bgColor auto="1"/>
        </patternFill>
      </fill>
    </dxf>
    <dxf>
      <font>
        <b val="0"/>
        <i val="0"/>
        <strike val="0"/>
        <condense val="0"/>
        <extend val="0"/>
        <outline val="0"/>
        <shadow val="0"/>
        <u val="none"/>
        <vertAlign val="baseline"/>
        <sz val="10"/>
        <color auto="1"/>
        <name val="Arial"/>
        <family val="2"/>
        <scheme val="none"/>
      </font>
      <fill>
        <patternFill patternType="none">
          <bgColor auto="1"/>
        </patternFill>
      </fill>
    </dxf>
    <dxf>
      <font>
        <b val="0"/>
        <i val="0"/>
        <strike val="0"/>
        <condense val="0"/>
        <extend val="0"/>
        <outline val="0"/>
        <shadow val="0"/>
        <u val="none"/>
        <vertAlign val="baseline"/>
        <sz val="10"/>
        <color auto="1"/>
        <name val="Arial"/>
        <family val="2"/>
        <scheme val="none"/>
      </font>
      <fill>
        <patternFill patternType="none">
          <bgColor auto="1"/>
        </patternFill>
      </fill>
    </dxf>
    <dxf>
      <font>
        <b val="0"/>
        <i val="0"/>
        <strike val="0"/>
        <condense val="0"/>
        <extend val="0"/>
        <outline val="0"/>
        <shadow val="0"/>
        <u val="none"/>
        <vertAlign val="baseline"/>
        <sz val="10"/>
        <color auto="1"/>
        <name val="Arial"/>
        <family val="2"/>
        <scheme val="none"/>
      </font>
      <fill>
        <patternFill patternType="none">
          <bgColor auto="1"/>
        </patternFill>
      </fill>
    </dxf>
    <dxf>
      <font>
        <b val="0"/>
        <i val="0"/>
        <strike val="0"/>
        <condense val="0"/>
        <extend val="0"/>
        <outline val="0"/>
        <shadow val="0"/>
        <u val="none"/>
        <vertAlign val="baseline"/>
        <sz val="10"/>
        <color auto="1"/>
        <name val="Arial"/>
        <family val="2"/>
        <scheme val="none"/>
      </font>
    </dxf>
    <dxf>
      <font>
        <b val="0"/>
        <i val="0"/>
        <strike val="0"/>
        <condense val="0"/>
        <extend val="0"/>
        <outline val="0"/>
        <shadow val="0"/>
        <u val="none"/>
        <vertAlign val="baseline"/>
        <sz val="10"/>
        <color auto="1"/>
        <name val="Arial"/>
        <family val="2"/>
        <scheme val="none"/>
      </font>
      <fill>
        <patternFill patternType="none">
          <bgColor auto="1"/>
        </patternFill>
      </fill>
    </dxf>
    <dxf>
      <font>
        <b val="0"/>
        <i val="0"/>
        <strike val="0"/>
        <condense val="0"/>
        <extend val="0"/>
        <outline val="0"/>
        <shadow val="0"/>
        <u val="none"/>
        <vertAlign val="baseline"/>
        <sz val="10"/>
        <color auto="1"/>
        <name val="Arial"/>
        <family val="2"/>
        <scheme val="none"/>
      </font>
      <fill>
        <patternFill patternType="none">
          <bgColor auto="1"/>
        </patternFill>
      </fill>
    </dxf>
    <dxf>
      <font>
        <b/>
        <i val="0"/>
        <strike val="0"/>
        <condense val="0"/>
        <extend val="0"/>
        <outline val="0"/>
        <shadow val="0"/>
        <u val="none"/>
        <vertAlign val="baseline"/>
        <sz val="8"/>
        <color theme="0"/>
        <name val="Arial"/>
        <family val="2"/>
        <scheme val="none"/>
      </font>
      <fill>
        <patternFill patternType="none">
          <fgColor rgb="FFC0C0C0"/>
          <bgColor auto="1"/>
        </patternFill>
      </fill>
      <alignment horizontal="center" vertical="bottom" textRotation="0" wrapText="0" indent="0" justifyLastLine="0" shrinkToFit="0" readingOrder="0"/>
    </dxf>
    <dxf>
      <font>
        <b val="0"/>
        <i val="0"/>
        <strike val="0"/>
        <condense val="0"/>
        <extend val="0"/>
        <outline val="0"/>
        <shadow val="0"/>
        <u val="none"/>
        <vertAlign val="baseline"/>
        <sz val="9"/>
        <color auto="1"/>
        <name val="Arial"/>
        <family val="2"/>
        <scheme val="none"/>
      </font>
    </dxf>
    <dxf>
      <font>
        <strike val="0"/>
        <outline val="0"/>
        <shadow val="0"/>
        <u val="none"/>
        <vertAlign val="baseline"/>
        <sz val="9"/>
        <name val="Arial"/>
        <family val="2"/>
        <scheme val="none"/>
      </font>
    </dxf>
    <dxf>
      <font>
        <strike val="0"/>
        <outline val="0"/>
        <shadow val="0"/>
        <u val="none"/>
        <vertAlign val="baseline"/>
        <sz val="9"/>
        <name val="Arial"/>
        <family val="2"/>
        <scheme val="none"/>
      </font>
    </dxf>
    <dxf>
      <font>
        <strike val="0"/>
        <outline val="0"/>
        <shadow val="0"/>
        <u val="none"/>
        <vertAlign val="baseline"/>
        <sz val="9"/>
        <name val="Arial"/>
        <family val="2"/>
        <scheme val="none"/>
      </font>
    </dxf>
    <dxf>
      <font>
        <strike val="0"/>
        <outline val="0"/>
        <shadow val="0"/>
        <u val="none"/>
        <vertAlign val="baseline"/>
        <sz val="9"/>
        <name val="Arial"/>
        <family val="2"/>
        <scheme val="none"/>
      </font>
    </dxf>
    <dxf>
      <font>
        <strike val="0"/>
        <outline val="0"/>
        <shadow val="0"/>
        <u val="none"/>
        <vertAlign val="baseline"/>
        <sz val="9"/>
        <name val="Arial"/>
        <family val="2"/>
        <scheme val="none"/>
      </font>
    </dxf>
    <dxf>
      <font>
        <b val="0"/>
        <i val="0"/>
        <strike val="0"/>
        <condense val="0"/>
        <extend val="0"/>
        <outline val="0"/>
        <shadow val="0"/>
        <u val="none"/>
        <vertAlign val="baseline"/>
        <sz val="9"/>
        <color rgb="FF000000"/>
        <name val="Arial"/>
        <family val="2"/>
        <scheme val="none"/>
      </font>
      <numFmt numFmtId="187" formatCode="#,##0.00_);[Red]\(#,##0.00\)"/>
    </dxf>
    <dxf>
      <font>
        <b val="0"/>
        <i val="0"/>
        <strike val="0"/>
        <condense val="0"/>
        <extend val="0"/>
        <outline val="0"/>
        <shadow val="0"/>
        <u val="none"/>
        <vertAlign val="baseline"/>
        <sz val="9"/>
        <color rgb="FF000000"/>
        <name val="Arial"/>
        <scheme val="none"/>
      </font>
      <numFmt numFmtId="187" formatCode="#,##0.00_);[Red]\(#,##0.00\)"/>
      <fill>
        <patternFill patternType="none">
          <fgColor indexed="64"/>
          <bgColor auto="1"/>
        </patternFill>
      </fill>
    </dxf>
    <dxf>
      <font>
        <b val="0"/>
        <i val="0"/>
        <strike val="0"/>
        <condense val="0"/>
        <extend val="0"/>
        <outline val="0"/>
        <shadow val="0"/>
        <u val="none"/>
        <vertAlign val="baseline"/>
        <sz val="9"/>
        <color rgb="FF000000"/>
        <name val="Arial"/>
        <family val="2"/>
        <scheme val="none"/>
      </font>
      <numFmt numFmtId="187" formatCode="#,##0.00_);[Red]\(#,##0.00\)"/>
    </dxf>
    <dxf>
      <font>
        <b val="0"/>
        <i val="0"/>
        <strike val="0"/>
        <condense val="0"/>
        <extend val="0"/>
        <outline val="0"/>
        <shadow val="0"/>
        <u val="none"/>
        <vertAlign val="baseline"/>
        <sz val="9"/>
        <color rgb="FF000000"/>
        <name val="Arial"/>
        <scheme val="none"/>
      </font>
      <numFmt numFmtId="187" formatCode="#,##0.00_);[Red]\(#,##0.00\)"/>
      <fill>
        <patternFill patternType="none">
          <fgColor indexed="64"/>
          <bgColor auto="1"/>
        </patternFill>
      </fill>
    </dxf>
    <dxf>
      <font>
        <b val="0"/>
        <i val="0"/>
        <strike val="0"/>
        <condense val="0"/>
        <extend val="0"/>
        <outline val="0"/>
        <shadow val="0"/>
        <u val="none"/>
        <vertAlign val="baseline"/>
        <sz val="9"/>
        <color rgb="FF000000"/>
        <name val="Arial"/>
        <family val="2"/>
        <scheme val="none"/>
      </font>
      <numFmt numFmtId="187" formatCode="#,##0.00_);[Red]\(#,##0.00\)"/>
    </dxf>
    <dxf>
      <font>
        <b val="0"/>
        <i val="0"/>
        <strike val="0"/>
        <condense val="0"/>
        <extend val="0"/>
        <outline val="0"/>
        <shadow val="0"/>
        <u val="none"/>
        <vertAlign val="baseline"/>
        <sz val="9"/>
        <color rgb="FF000000"/>
        <name val="Arial"/>
        <scheme val="none"/>
      </font>
      <numFmt numFmtId="187" formatCode="#,##0.00_);[Red]\(#,##0.00\)"/>
      <fill>
        <patternFill patternType="none">
          <fgColor indexed="64"/>
          <bgColor auto="1"/>
        </patternFill>
      </fill>
    </dxf>
    <dxf>
      <font>
        <b val="0"/>
        <i val="0"/>
        <strike val="0"/>
        <condense val="0"/>
        <extend val="0"/>
        <outline val="0"/>
        <shadow val="0"/>
        <u val="none"/>
        <vertAlign val="baseline"/>
        <sz val="9"/>
        <color rgb="FF000000"/>
        <name val="Arial"/>
        <scheme val="none"/>
      </font>
      <numFmt numFmtId="187" formatCode="#,##0.00_);[Red]\(#,##0.00\)"/>
      <fill>
        <patternFill patternType="none">
          <fgColor rgb="FF000000"/>
          <bgColor auto="1"/>
        </patternFill>
      </fill>
    </dxf>
    <dxf>
      <font>
        <b val="0"/>
        <i val="0"/>
        <strike val="0"/>
        <condense val="0"/>
        <extend val="0"/>
        <outline val="0"/>
        <shadow val="0"/>
        <u val="none"/>
        <vertAlign val="baseline"/>
        <sz val="9"/>
        <color rgb="FF000000"/>
        <name val="Arial"/>
        <family val="2"/>
        <scheme val="none"/>
      </font>
      <alignment horizontal="general" vertical="bottom" textRotation="0" wrapText="1" indent="0" justifyLastLine="0" shrinkToFit="0" readingOrder="0"/>
    </dxf>
    <dxf>
      <font>
        <strike val="0"/>
        <outline val="0"/>
        <shadow val="0"/>
        <u val="none"/>
        <vertAlign val="baseline"/>
        <sz val="10"/>
      </font>
    </dxf>
    <dxf>
      <font>
        <strike val="0"/>
        <outline val="0"/>
        <shadow val="0"/>
        <u val="none"/>
        <vertAlign val="baseline"/>
        <sz val="10"/>
      </font>
    </dxf>
    <dxf>
      <font>
        <strike val="0"/>
        <outline val="0"/>
        <shadow val="0"/>
        <u val="none"/>
        <vertAlign val="baseline"/>
        <sz val="10"/>
      </font>
    </dxf>
    <dxf>
      <font>
        <strike val="0"/>
        <outline val="0"/>
        <shadow val="0"/>
        <u val="none"/>
        <vertAlign val="baseline"/>
        <sz val="10"/>
      </font>
    </dxf>
    <dxf>
      <font>
        <b val="0"/>
        <i val="0"/>
        <strike val="0"/>
        <condense val="0"/>
        <extend val="0"/>
        <outline val="0"/>
        <shadow val="0"/>
        <u val="none"/>
        <vertAlign val="baseline"/>
        <sz val="10"/>
        <color auto="1"/>
        <name val="Arial"/>
        <family val="2"/>
        <scheme val="none"/>
      </font>
      <numFmt numFmtId="0" formatCode="General"/>
    </dxf>
    <dxf>
      <font>
        <strike val="0"/>
        <outline val="0"/>
        <shadow val="0"/>
        <u val="none"/>
        <vertAlign val="baseline"/>
        <sz val="10"/>
      </font>
    </dxf>
    <dxf>
      <font>
        <strike val="0"/>
        <outline val="0"/>
        <shadow val="0"/>
        <u val="none"/>
        <vertAlign val="baseline"/>
        <sz val="10"/>
      </font>
    </dxf>
    <dxf>
      <font>
        <strike val="0"/>
        <outline val="0"/>
        <shadow val="0"/>
        <u val="none"/>
        <vertAlign val="baseline"/>
        <sz val="10"/>
      </font>
    </dxf>
    <dxf>
      <font>
        <b val="0"/>
        <i val="0"/>
        <strike val="0"/>
        <condense val="0"/>
        <extend val="0"/>
        <outline val="0"/>
        <shadow val="0"/>
        <u val="none"/>
        <vertAlign val="baseline"/>
        <sz val="10"/>
        <color theme="0"/>
        <name val="Arial"/>
        <family val="2"/>
        <scheme val="none"/>
      </font>
    </dxf>
    <dxf>
      <font>
        <strike val="0"/>
        <outline val="0"/>
        <shadow val="0"/>
        <vertAlign val="baseline"/>
        <sz val="9"/>
        <name val="Arial"/>
        <family val="2"/>
        <scheme val="none"/>
      </font>
      <numFmt numFmtId="187" formatCode="#,##0.00_);[Red]\(#,##0.00\)"/>
      <fill>
        <patternFill patternType="none">
          <fgColor indexed="64"/>
          <bgColor auto="1"/>
        </patternFill>
      </fill>
    </dxf>
    <dxf>
      <font>
        <strike val="0"/>
        <outline val="0"/>
        <shadow val="0"/>
        <vertAlign val="baseline"/>
        <sz val="9"/>
        <name val="Arial"/>
        <family val="2"/>
        <scheme val="none"/>
      </font>
      <numFmt numFmtId="187" formatCode="#,##0.00_);[Red]\(#,##0.00\)"/>
      <fill>
        <patternFill patternType="none">
          <fgColor indexed="64"/>
          <bgColor auto="1"/>
        </patternFill>
      </fill>
    </dxf>
    <dxf>
      <font>
        <strike val="0"/>
        <outline val="0"/>
        <shadow val="0"/>
        <vertAlign val="baseline"/>
        <sz val="9"/>
        <name val="Arial"/>
        <family val="2"/>
        <scheme val="none"/>
      </font>
      <numFmt numFmtId="187" formatCode="#,##0.00_);[Red]\(#,##0.00\)"/>
      <fill>
        <patternFill patternType="none">
          <fgColor indexed="64"/>
          <bgColor auto="1"/>
        </patternFill>
      </fill>
    </dxf>
    <dxf>
      <font>
        <strike val="0"/>
        <outline val="0"/>
        <shadow val="0"/>
        <vertAlign val="baseline"/>
        <sz val="9"/>
        <name val="Arial"/>
        <family val="2"/>
        <scheme val="none"/>
      </font>
      <numFmt numFmtId="187" formatCode="#,##0.00_);[Red]\(#,##0.00\)"/>
      <fill>
        <patternFill patternType="none">
          <fgColor indexed="64"/>
          <bgColor auto="1"/>
        </patternFill>
      </fill>
    </dxf>
    <dxf>
      <font>
        <strike val="0"/>
        <outline val="0"/>
        <shadow val="0"/>
        <vertAlign val="baseline"/>
        <sz val="9"/>
        <name val="Arial"/>
        <family val="2"/>
        <scheme val="none"/>
      </font>
      <numFmt numFmtId="187" formatCode="#,##0.00_);[Red]\(#,##0.00\)"/>
      <fill>
        <patternFill patternType="none">
          <fgColor indexed="64"/>
          <bgColor auto="1"/>
        </patternFill>
      </fill>
    </dxf>
    <dxf>
      <font>
        <strike val="0"/>
        <outline val="0"/>
        <shadow val="0"/>
        <vertAlign val="baseline"/>
        <sz val="9"/>
        <name val="Arial"/>
        <scheme val="none"/>
      </font>
      <numFmt numFmtId="187" formatCode="#,##0.00_);[Red]\(#,##0.00\)"/>
      <fill>
        <patternFill patternType="none">
          <fgColor indexed="64"/>
          <bgColor auto="1"/>
        </patternFill>
      </fill>
    </dxf>
    <dxf>
      <font>
        <b val="0"/>
        <i val="0"/>
        <strike val="0"/>
        <condense val="0"/>
        <extend val="0"/>
        <outline val="0"/>
        <shadow val="0"/>
        <u val="none"/>
        <vertAlign val="baseline"/>
        <sz val="9"/>
        <color theme="1"/>
        <name val="Arial"/>
        <family val="2"/>
        <scheme val="none"/>
      </font>
      <numFmt numFmtId="187" formatCode="#,##0.00_);[Red]\(#,##0.00\)"/>
      <fill>
        <patternFill patternType="none">
          <fgColor indexed="64"/>
          <bgColor auto="1"/>
        </patternFill>
      </fill>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9"/>
        <color theme="1"/>
        <name val="Arial"/>
        <family val="2"/>
        <scheme val="none"/>
      </font>
      <numFmt numFmtId="191" formatCode="0;[Red]0"/>
      <fill>
        <patternFill patternType="none">
          <fgColor indexed="64"/>
          <bgColor auto="1"/>
        </patternFill>
      </fill>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9"/>
        <color auto="1"/>
        <name val="Arial"/>
        <family val="2"/>
        <scheme val="none"/>
      </font>
      <numFmt numFmtId="187" formatCode="#,##0.00_);[Red]\(#,##0.00\)"/>
      <fill>
        <patternFill patternType="none">
          <fgColor indexed="64"/>
          <bgColor auto="1"/>
        </patternFill>
      </fill>
    </dxf>
    <dxf>
      <font>
        <b val="0"/>
        <i val="0"/>
        <strike val="0"/>
        <condense val="0"/>
        <extend val="0"/>
        <outline val="0"/>
        <shadow val="0"/>
        <u val="none"/>
        <vertAlign val="baseline"/>
        <sz val="9"/>
        <color auto="1"/>
        <name val="Arial"/>
        <family val="2"/>
        <scheme val="none"/>
      </font>
      <numFmt numFmtId="1" formatCode="0"/>
      <fill>
        <patternFill patternType="none">
          <fgColor indexed="64"/>
          <bgColor auto="1"/>
        </patternFill>
      </fill>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9"/>
        <color auto="1"/>
        <name val="Arial"/>
        <family val="2"/>
        <scheme val="none"/>
      </font>
      <numFmt numFmtId="187" formatCode="#,##0.00_);[Red]\(#,##0.00\)"/>
      <fill>
        <patternFill patternType="none">
          <fgColor indexed="64"/>
          <bgColor auto="1"/>
        </patternFill>
      </fill>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9"/>
        <color auto="1"/>
        <name val="Arial"/>
        <scheme val="none"/>
      </font>
      <numFmt numFmtId="187" formatCode="#,##0.00_);[Red]\(#,##0.00\)"/>
      <fill>
        <patternFill patternType="none">
          <fgColor indexed="64"/>
          <bgColor auto="1"/>
        </patternFill>
      </fill>
    </dxf>
    <dxf>
      <font>
        <strike val="0"/>
        <outline val="0"/>
        <shadow val="0"/>
        <vertAlign val="baseline"/>
        <sz val="9"/>
        <name val="Arial"/>
        <scheme val="none"/>
      </font>
      <numFmt numFmtId="187" formatCode="#,##0.00_);[Red]\(#,##0.00\)"/>
      <fill>
        <patternFill patternType="none">
          <fgColor indexed="64"/>
          <bgColor auto="1"/>
        </patternFill>
      </fill>
    </dxf>
    <dxf>
      <font>
        <strike val="0"/>
        <outline val="0"/>
        <shadow val="0"/>
        <vertAlign val="baseline"/>
        <sz val="9"/>
        <name val="Arial"/>
        <scheme val="none"/>
      </font>
      <numFmt numFmtId="187" formatCode="#,##0.00_);[Red]\(#,##0.00\)"/>
      <fill>
        <patternFill patternType="none">
          <fgColor indexed="64"/>
          <bgColor auto="1"/>
        </patternFill>
      </fill>
    </dxf>
    <dxf>
      <font>
        <strike val="0"/>
        <outline val="0"/>
        <shadow val="0"/>
        <vertAlign val="baseline"/>
        <sz val="9"/>
        <name val="Arial"/>
        <scheme val="none"/>
      </font>
      <numFmt numFmtId="187" formatCode="#,##0.00_);[Red]\(#,##0.00\)"/>
      <fill>
        <patternFill patternType="none">
          <fgColor indexed="64"/>
          <bgColor auto="1"/>
        </patternFill>
      </fill>
    </dxf>
    <dxf>
      <font>
        <b val="0"/>
        <i val="0"/>
        <strike val="0"/>
        <condense val="0"/>
        <extend val="0"/>
        <outline val="0"/>
        <shadow val="0"/>
        <u val="none"/>
        <vertAlign val="baseline"/>
        <sz val="9"/>
        <color theme="0"/>
        <name val="Arial"/>
        <scheme val="none"/>
      </font>
      <numFmt numFmtId="187" formatCode="#,##0.00_);[Red]\(#,##0.00\)"/>
      <fill>
        <patternFill patternType="none">
          <fgColor indexed="64"/>
          <bgColor auto="1"/>
        </patternFill>
      </fill>
    </dxf>
    <dxf>
      <font>
        <b val="0"/>
        <i val="0"/>
        <strike val="0"/>
        <condense val="0"/>
        <extend val="0"/>
        <outline val="0"/>
        <shadow val="0"/>
        <u val="none"/>
        <vertAlign val="baseline"/>
        <sz val="10"/>
        <color theme="1"/>
        <name val="Arial"/>
        <scheme val="none"/>
      </font>
      <numFmt numFmtId="8" formatCode="#,##0.00;[Red]\-#,##0.00"/>
      <fill>
        <patternFill patternType="none">
          <fgColor indexed="64"/>
          <bgColor auto="1"/>
        </patternFill>
      </fill>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0"/>
        <color theme="1"/>
        <name val="Arial"/>
        <scheme val="none"/>
      </font>
      <fill>
        <patternFill patternType="none">
          <fgColor indexed="64"/>
          <bgColor auto="1"/>
        </patternFill>
      </fill>
      <alignment horizontal="left"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0"/>
        <color rgb="FF000000"/>
        <name val="Arial"/>
        <scheme val="none"/>
      </font>
      <numFmt numFmtId="177" formatCode="[$-F800]dddd\,\ mmmm\ dd\,\ yyyy"/>
      <fill>
        <patternFill patternType="none">
          <fgColor indexed="64"/>
          <bgColor auto="1"/>
        </patternFill>
      </fill>
    </dxf>
    <dxf>
      <font>
        <b val="0"/>
        <i val="0"/>
        <strike val="0"/>
        <condense val="0"/>
        <extend val="0"/>
        <outline val="0"/>
        <shadow val="0"/>
        <u val="none"/>
        <vertAlign val="baseline"/>
        <sz val="10"/>
        <color rgb="FF000000"/>
        <name val="Arial"/>
        <scheme val="none"/>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0"/>
        <color rgb="FF000000"/>
        <name val="Arial"/>
        <scheme val="none"/>
      </font>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0"/>
        <color rgb="FF000000"/>
        <name val="Arial"/>
        <scheme val="none"/>
      </font>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0"/>
        <name val="Arial"/>
        <scheme val="none"/>
      </font>
      <fill>
        <patternFill patternType="none">
          <fgColor indexed="64"/>
          <bgColor auto="1"/>
        </patternFill>
      </fill>
    </dxf>
    <dxf>
      <font>
        <strike val="0"/>
        <outline val="0"/>
        <shadow val="0"/>
        <vertAlign val="baseline"/>
        <sz val="10"/>
        <name val="Arial"/>
        <scheme val="none"/>
      </font>
      <fill>
        <patternFill patternType="none">
          <fgColor indexed="64"/>
          <bgColor auto="1"/>
        </patternFill>
      </fill>
      <alignment horizontal="general" vertical="bottom" textRotation="0" wrapText="0" indent="0" justifyLastLine="0" shrinkToFit="0" readingOrder="0"/>
    </dxf>
    <dxf>
      <font>
        <b val="0"/>
        <i val="0"/>
        <strike val="0"/>
        <condense val="0"/>
        <extend val="0"/>
        <outline val="0"/>
        <shadow val="0"/>
        <u val="none"/>
        <vertAlign val="baseline"/>
        <sz val="9"/>
        <color rgb="FF000000"/>
        <name val="Arial"/>
        <family val="2"/>
        <scheme val="none"/>
      </font>
      <numFmt numFmtId="8" formatCode="#,##0.00;[Red]\-#,##0.00"/>
      <fill>
        <patternFill patternType="none">
          <bgColor auto="1"/>
        </patternFill>
      </fill>
    </dxf>
    <dxf>
      <font>
        <b val="0"/>
        <i val="0"/>
        <strike val="0"/>
        <condense val="0"/>
        <extend val="0"/>
        <outline val="0"/>
        <shadow val="0"/>
        <u val="none"/>
        <vertAlign val="baseline"/>
        <sz val="9"/>
        <color rgb="FF000000"/>
        <name val="Arial"/>
        <family val="2"/>
        <scheme val="none"/>
      </font>
      <numFmt numFmtId="34" formatCode="_-&quot;$&quot;* #,##0.00_-;\-&quot;$&quot;* #,##0.00_-;_-&quot;$&quot;* &quot;-&quot;??_-;_-@_-"/>
      <fill>
        <patternFill patternType="none">
          <bgColor auto="1"/>
        </patternFill>
      </fill>
    </dxf>
    <dxf>
      <font>
        <b val="0"/>
        <i val="0"/>
        <strike val="0"/>
        <condense val="0"/>
        <extend val="0"/>
        <outline val="0"/>
        <shadow val="0"/>
        <u val="none"/>
        <vertAlign val="baseline"/>
        <sz val="9"/>
        <color rgb="FF000000"/>
        <name val="Arial"/>
        <family val="2"/>
        <scheme val="none"/>
      </font>
      <numFmt numFmtId="34" formatCode="_-&quot;$&quot;* #,##0.00_-;\-&quot;$&quot;* #,##0.00_-;_-&quot;$&quot;* &quot;-&quot;??_-;_-@_-"/>
      <fill>
        <patternFill patternType="none">
          <bgColor auto="1"/>
        </patternFill>
      </fill>
    </dxf>
    <dxf>
      <font>
        <b val="0"/>
        <i val="0"/>
        <strike val="0"/>
        <condense val="0"/>
        <extend val="0"/>
        <outline val="0"/>
        <shadow val="0"/>
        <u val="none"/>
        <vertAlign val="baseline"/>
        <sz val="9"/>
        <color rgb="FF000000"/>
        <name val="Arial"/>
        <family val="2"/>
        <scheme val="none"/>
      </font>
      <numFmt numFmtId="172" formatCode="&quot;$&quot;#,##0.00"/>
      <fill>
        <patternFill patternType="none">
          <bgColor auto="1"/>
        </patternFill>
      </fill>
    </dxf>
    <dxf>
      <font>
        <b val="0"/>
        <i val="0"/>
        <strike val="0"/>
        <condense val="0"/>
        <extend val="0"/>
        <outline val="0"/>
        <shadow val="0"/>
        <u val="none"/>
        <vertAlign val="baseline"/>
        <sz val="9"/>
        <color rgb="FF000000"/>
        <name val="Arial"/>
        <family val="2"/>
        <scheme val="none"/>
      </font>
      <numFmt numFmtId="172" formatCode="&quot;$&quot;#,##0.00"/>
      <fill>
        <patternFill patternType="none">
          <bgColor auto="1"/>
        </patternFill>
      </fill>
    </dxf>
    <dxf>
      <font>
        <b val="0"/>
        <i val="0"/>
        <strike val="0"/>
        <condense val="0"/>
        <extend val="0"/>
        <outline val="0"/>
        <shadow val="0"/>
        <u val="none"/>
        <vertAlign val="baseline"/>
        <sz val="9"/>
        <color rgb="FF000000"/>
        <name val="Arial"/>
        <family val="2"/>
        <scheme val="none"/>
      </font>
      <numFmt numFmtId="8" formatCode="#,##0.00;[Red]\-#,##0.00"/>
      <fill>
        <patternFill patternType="none">
          <bgColor auto="1"/>
        </patternFill>
      </fill>
    </dxf>
    <dxf>
      <font>
        <b val="0"/>
        <i val="0"/>
        <strike val="0"/>
        <condense val="0"/>
        <extend val="0"/>
        <outline val="0"/>
        <shadow val="0"/>
        <u val="none"/>
        <vertAlign val="baseline"/>
        <sz val="9"/>
        <color auto="1"/>
        <name val="Arial"/>
        <family val="2"/>
        <scheme val="none"/>
      </font>
      <numFmt numFmtId="8" formatCode="#,##0.00;[Red]\-#,##0.00"/>
      <fill>
        <patternFill patternType="none">
          <fgColor theme="4" tint="0.79998168889431442"/>
          <bgColor auto="1"/>
        </patternFill>
      </fill>
      <border diagonalUp="0" diagonalDown="0" outline="0">
        <left/>
        <right/>
        <top style="thin">
          <color theme="4" tint="0.39997558519241921"/>
        </top>
        <bottom style="thin">
          <color theme="4" tint="0.39997558519241921"/>
        </bottom>
      </border>
    </dxf>
    <dxf>
      <font>
        <b/>
        <i val="0"/>
        <strike val="0"/>
        <condense val="0"/>
        <extend val="0"/>
        <outline val="0"/>
        <shadow val="0"/>
        <u val="none"/>
        <vertAlign val="baseline"/>
        <sz val="9"/>
        <color rgb="FF000000"/>
        <name val="Arial"/>
        <family val="2"/>
        <scheme val="none"/>
      </font>
      <numFmt numFmtId="0" formatCode="General"/>
      <fill>
        <patternFill patternType="none">
          <fgColor indexed="64"/>
          <bgColor indexed="65"/>
        </patternFill>
      </fill>
    </dxf>
    <dxf>
      <font>
        <b val="0"/>
        <i val="0"/>
        <strike val="0"/>
        <condense val="0"/>
        <extend val="0"/>
        <outline val="0"/>
        <shadow val="0"/>
        <u val="none"/>
        <vertAlign val="baseline"/>
        <sz val="9"/>
        <color rgb="FF000000"/>
        <name val="Arial"/>
        <family val="2"/>
        <scheme val="none"/>
      </font>
      <numFmt numFmtId="0" formatCode="General"/>
      <fill>
        <patternFill patternType="none">
          <fgColor indexed="64"/>
          <bgColor indexed="65"/>
        </patternFill>
      </fill>
    </dxf>
    <dxf>
      <font>
        <b val="0"/>
        <i val="0"/>
        <strike val="0"/>
        <condense val="0"/>
        <extend val="0"/>
        <outline val="0"/>
        <shadow val="0"/>
        <u val="none"/>
        <vertAlign val="baseline"/>
        <sz val="9"/>
        <color rgb="FF000000"/>
        <name val="Arial"/>
        <family val="2"/>
        <scheme val="none"/>
      </font>
      <fill>
        <patternFill patternType="none">
          <bgColor auto="1"/>
        </patternFill>
      </fill>
    </dxf>
    <dxf>
      <font>
        <b val="0"/>
        <i val="0"/>
        <strike val="0"/>
        <condense val="0"/>
        <extend val="0"/>
        <outline val="0"/>
        <shadow val="0"/>
        <u val="none"/>
        <vertAlign val="baseline"/>
        <sz val="9"/>
        <color rgb="FF000000"/>
        <name val="Arial"/>
        <family val="2"/>
        <scheme val="none"/>
      </font>
      <fill>
        <patternFill patternType="none">
          <bgColor auto="1"/>
        </patternFill>
      </fill>
    </dxf>
    <dxf>
      <numFmt numFmtId="35" formatCode="_-* #,##0.00_-;\-* #,##0.00_-;_-* &quot;-&quot;??_-;_-@_-"/>
      <fill>
        <patternFill patternType="solid">
          <fgColor indexed="64"/>
          <bgColor theme="2"/>
        </patternFill>
      </fill>
    </dxf>
    <dxf>
      <font>
        <b val="0"/>
        <i val="0"/>
        <strike val="0"/>
        <condense val="0"/>
        <extend val="0"/>
        <outline val="0"/>
        <shadow val="0"/>
        <u val="none"/>
        <vertAlign val="baseline"/>
        <sz val="8"/>
        <color auto="1"/>
        <name val="Arial"/>
        <family val="2"/>
        <scheme val="none"/>
      </font>
      <numFmt numFmtId="178" formatCode="#,##0.00_ ;[Red]\-#,##0.00\ "/>
      <fill>
        <patternFill patternType="solid">
          <fgColor indexed="64"/>
          <bgColor theme="2"/>
        </patternFill>
      </fill>
    </dxf>
    <dxf>
      <font>
        <b val="0"/>
        <i val="0"/>
        <strike val="0"/>
        <condense val="0"/>
        <extend val="0"/>
        <outline val="0"/>
        <shadow val="0"/>
        <u val="none"/>
        <vertAlign val="baseline"/>
        <sz val="8"/>
        <color auto="1"/>
        <name val="Arial"/>
        <family val="2"/>
        <scheme val="none"/>
      </font>
      <numFmt numFmtId="178" formatCode="#,##0.00_ ;[Red]\-#,##0.00\ "/>
      <fill>
        <patternFill patternType="solid">
          <fgColor indexed="64"/>
          <bgColor theme="2"/>
        </patternFill>
      </fill>
    </dxf>
    <dxf>
      <numFmt numFmtId="187" formatCode="#,##0.00_);[Red]\(#,##0.00\)"/>
      <fill>
        <patternFill patternType="solid">
          <fgColor indexed="64"/>
          <bgColor theme="2"/>
        </patternFill>
      </fill>
    </dxf>
    <dxf>
      <numFmt numFmtId="0" formatCode="General"/>
      <fill>
        <patternFill patternType="solid">
          <fgColor indexed="64"/>
          <bgColor theme="2"/>
        </patternFill>
      </fill>
    </dxf>
    <dxf>
      <font>
        <b val="0"/>
        <i val="0"/>
        <strike val="0"/>
        <condense val="0"/>
        <extend val="0"/>
        <outline val="0"/>
        <shadow val="0"/>
        <u val="none"/>
        <vertAlign val="baseline"/>
        <sz val="9"/>
        <color auto="1"/>
        <name val="Arial"/>
        <family val="2"/>
        <scheme val="none"/>
      </font>
      <numFmt numFmtId="184" formatCode="[$-1009]d/mmm/yy;@"/>
      <fill>
        <patternFill patternType="solid">
          <fgColor indexed="64"/>
          <bgColor theme="2"/>
        </patternFill>
      </fill>
    </dxf>
    <dxf>
      <numFmt numFmtId="8" formatCode="#,##0.00;[Red]\-#,##0.00"/>
      <fill>
        <patternFill patternType="solid">
          <fgColor indexed="64"/>
          <bgColor theme="2"/>
        </patternFill>
      </fill>
    </dxf>
    <dxf>
      <fill>
        <patternFill patternType="solid">
          <fgColor indexed="64"/>
          <bgColor theme="2"/>
        </patternFill>
      </fill>
    </dxf>
    <dxf>
      <numFmt numFmtId="187" formatCode="#,##0.00_);[Red]\(#,##0.00\)"/>
      <fill>
        <patternFill patternType="solid">
          <fgColor indexed="64"/>
          <bgColor theme="2"/>
        </patternFill>
      </fill>
    </dxf>
    <dxf>
      <fill>
        <patternFill patternType="solid">
          <fgColor indexed="64"/>
          <bgColor theme="2"/>
        </patternFill>
      </fill>
    </dxf>
    <dxf>
      <font>
        <b val="0"/>
        <i val="0"/>
        <strike val="0"/>
        <condense val="0"/>
        <extend val="0"/>
        <outline val="0"/>
        <shadow val="0"/>
        <u val="none"/>
        <vertAlign val="baseline"/>
        <sz val="9"/>
        <color rgb="FF000000"/>
        <name val="Arial"/>
        <family val="2"/>
        <scheme val="none"/>
      </font>
      <numFmt numFmtId="187" formatCode="#,##0.00_);[Red]\(#,##0.00\)"/>
      <fill>
        <patternFill patternType="solid">
          <fgColor indexed="64"/>
          <bgColor theme="2"/>
        </patternFill>
      </fill>
    </dxf>
    <dxf>
      <font>
        <b val="0"/>
        <i val="0"/>
        <strike val="0"/>
        <condense val="0"/>
        <extend val="0"/>
        <outline val="0"/>
        <shadow val="0"/>
        <u val="none"/>
        <vertAlign val="baseline"/>
        <sz val="9"/>
        <color rgb="FF000000"/>
        <name val="Arial"/>
        <family val="2"/>
        <scheme val="none"/>
      </font>
      <numFmt numFmtId="187" formatCode="#,##0.00_);[Red]\(#,##0.00\)"/>
      <fill>
        <patternFill patternType="solid">
          <fgColor indexed="64"/>
          <bgColor theme="2"/>
        </patternFill>
      </fill>
    </dxf>
    <dxf>
      <fill>
        <patternFill patternType="solid">
          <fgColor indexed="64"/>
          <bgColor theme="2"/>
        </patternFill>
      </fill>
    </dxf>
    <dxf>
      <font>
        <b val="0"/>
        <i val="0"/>
        <strike val="0"/>
        <condense val="0"/>
        <extend val="0"/>
        <outline val="0"/>
        <shadow val="0"/>
        <u val="none"/>
        <vertAlign val="baseline"/>
        <sz val="9"/>
        <color rgb="FF000000"/>
        <name val="Arial"/>
        <family val="2"/>
        <scheme val="none"/>
      </font>
      <fill>
        <patternFill patternType="solid">
          <fgColor indexed="64"/>
          <bgColor theme="2"/>
        </patternFill>
      </fill>
    </dxf>
    <dxf>
      <fill>
        <patternFill patternType="solid">
          <fgColor indexed="64"/>
          <bgColor theme="2"/>
        </patternFill>
      </fill>
    </dxf>
    <dxf>
      <font>
        <b val="0"/>
        <i val="0"/>
        <strike val="0"/>
        <condense val="0"/>
        <extend val="0"/>
        <outline val="0"/>
        <shadow val="0"/>
        <u val="none"/>
        <vertAlign val="baseline"/>
        <sz val="9"/>
        <color rgb="FF000000"/>
        <name val="Arial"/>
        <family val="2"/>
        <scheme val="none"/>
      </font>
      <numFmt numFmtId="6" formatCode="#,##0;[Red]\-#,##0"/>
      <fill>
        <patternFill patternType="solid">
          <fgColor indexed="64"/>
          <bgColor theme="2"/>
        </patternFill>
      </fill>
    </dxf>
    <dxf>
      <font>
        <b val="0"/>
        <i val="0"/>
        <strike val="0"/>
        <condense val="0"/>
        <extend val="0"/>
        <outline val="0"/>
        <shadow val="0"/>
        <u val="none"/>
        <vertAlign val="baseline"/>
        <sz val="9"/>
        <color auto="1"/>
        <name val="Arial"/>
        <family val="2"/>
        <scheme val="none"/>
      </font>
      <numFmt numFmtId="1" formatCode="0"/>
      <fill>
        <patternFill patternType="solid">
          <fgColor indexed="64"/>
          <bgColor theme="2"/>
        </patternFill>
      </fill>
    </dxf>
    <dxf>
      <numFmt numFmtId="1" formatCode="0"/>
      <fill>
        <patternFill patternType="solid">
          <fgColor indexed="64"/>
          <bgColor theme="2"/>
        </patternFill>
      </fill>
    </dxf>
    <dxf>
      <font>
        <b val="0"/>
        <i val="0"/>
        <strike val="0"/>
        <condense val="0"/>
        <extend val="0"/>
        <outline val="0"/>
        <shadow val="0"/>
        <u val="none"/>
        <vertAlign val="baseline"/>
        <sz val="8"/>
        <color rgb="FF000000"/>
        <name val="Arial"/>
        <family val="2"/>
        <scheme val="none"/>
      </font>
      <numFmt numFmtId="8" formatCode="#,##0.00;[Red]\-#,##0.00"/>
      <fill>
        <patternFill patternType="solid">
          <fgColor indexed="64"/>
          <bgColor theme="2"/>
        </patternFill>
      </fill>
    </dxf>
    <dxf>
      <font>
        <b val="0"/>
        <i val="0"/>
        <strike val="0"/>
        <condense val="0"/>
        <extend val="0"/>
        <outline val="0"/>
        <shadow val="0"/>
        <u val="none"/>
        <vertAlign val="baseline"/>
        <sz val="8"/>
        <color rgb="FF000000"/>
        <name val="Arial"/>
        <family val="2"/>
        <scheme val="none"/>
      </font>
      <numFmt numFmtId="8" formatCode="#,##0.00;[Red]\-#,##0.00"/>
      <fill>
        <patternFill patternType="solid">
          <fgColor indexed="64"/>
          <bgColor theme="2"/>
        </patternFill>
      </fill>
    </dxf>
    <dxf>
      <font>
        <b val="0"/>
        <i val="0"/>
        <strike val="0"/>
        <condense val="0"/>
        <extend val="0"/>
        <outline val="0"/>
        <shadow val="0"/>
        <u val="none"/>
        <vertAlign val="baseline"/>
        <sz val="8"/>
        <color rgb="FF000000"/>
        <name val="Arial"/>
        <family val="2"/>
        <scheme val="none"/>
      </font>
      <fill>
        <patternFill patternType="solid">
          <fgColor indexed="64"/>
          <bgColor theme="2"/>
        </patternFill>
      </fill>
    </dxf>
    <dxf>
      <font>
        <b val="0"/>
        <i val="0"/>
        <strike val="0"/>
        <condense val="0"/>
        <extend val="0"/>
        <outline val="0"/>
        <shadow val="0"/>
        <u val="none"/>
        <vertAlign val="baseline"/>
        <sz val="9"/>
        <color rgb="FF000000"/>
        <name val="Arial"/>
        <family val="2"/>
        <scheme val="none"/>
      </font>
      <numFmt numFmtId="0" formatCode="General"/>
      <fill>
        <patternFill patternType="solid">
          <fgColor indexed="64"/>
          <bgColor theme="2"/>
        </patternFill>
      </fill>
    </dxf>
    <dxf>
      <font>
        <b val="0"/>
        <i val="0"/>
        <strike val="0"/>
        <condense val="0"/>
        <extend val="0"/>
        <outline val="0"/>
        <shadow val="0"/>
        <u val="none"/>
        <vertAlign val="baseline"/>
        <sz val="9"/>
        <color auto="1"/>
        <name val="Arial"/>
        <family val="2"/>
        <scheme val="none"/>
      </font>
      <numFmt numFmtId="0" formatCode="General"/>
      <fill>
        <patternFill patternType="solid">
          <fgColor indexed="64"/>
          <bgColor theme="2"/>
        </patternFill>
      </fill>
    </dxf>
    <dxf>
      <font>
        <b val="0"/>
        <i val="0"/>
        <strike val="0"/>
        <condense val="0"/>
        <extend val="0"/>
        <outline val="0"/>
        <shadow val="0"/>
        <u val="none"/>
        <vertAlign val="baseline"/>
        <sz val="8"/>
        <color rgb="FF000000"/>
        <name val="Arial"/>
        <family val="2"/>
        <scheme val="none"/>
      </font>
      <fill>
        <patternFill patternType="solid">
          <fgColor indexed="64"/>
          <bgColor theme="2"/>
        </patternFill>
      </fill>
    </dxf>
    <dxf>
      <font>
        <b val="0"/>
        <i val="0"/>
        <strike val="0"/>
        <condense val="0"/>
        <extend val="0"/>
        <outline val="0"/>
        <shadow val="0"/>
        <u val="none"/>
        <vertAlign val="baseline"/>
        <sz val="8"/>
        <color rgb="FF000000"/>
        <name val="Arial"/>
        <family val="2"/>
        <scheme val="none"/>
      </font>
      <fill>
        <patternFill patternType="solid">
          <fgColor indexed="64"/>
          <bgColor theme="2"/>
        </patternFill>
      </fill>
    </dxf>
    <dxf>
      <font>
        <b val="0"/>
        <i val="0"/>
        <strike val="0"/>
        <condense val="0"/>
        <extend val="0"/>
        <outline val="0"/>
        <shadow val="0"/>
        <u val="none"/>
        <vertAlign val="baseline"/>
        <sz val="8"/>
        <color rgb="FF000000"/>
        <name val="Arial"/>
        <family val="2"/>
        <scheme val="none"/>
      </font>
      <fill>
        <patternFill patternType="solid">
          <fgColor indexed="64"/>
          <bgColor theme="2"/>
        </patternFill>
      </fill>
    </dxf>
    <dxf>
      <font>
        <b val="0"/>
        <i val="0"/>
        <strike val="0"/>
        <condense val="0"/>
        <extend val="0"/>
        <outline val="0"/>
        <shadow val="0"/>
        <u val="none"/>
        <vertAlign val="baseline"/>
        <sz val="8"/>
        <color rgb="FF000000"/>
        <name val="Arial"/>
        <family val="2"/>
        <scheme val="none"/>
      </font>
      <fill>
        <patternFill patternType="solid">
          <fgColor indexed="64"/>
          <bgColor theme="2"/>
        </patternFill>
      </fill>
    </dxf>
    <dxf>
      <font>
        <b val="0"/>
        <i val="0"/>
        <strike val="0"/>
        <condense val="0"/>
        <extend val="0"/>
        <outline val="0"/>
        <shadow val="0"/>
        <u val="none"/>
        <vertAlign val="baseline"/>
        <sz val="9"/>
        <color rgb="FF000000"/>
        <name val="Arial"/>
        <family val="2"/>
        <scheme val="none"/>
      </font>
      <numFmt numFmtId="1" formatCode="0"/>
      <fill>
        <patternFill patternType="solid">
          <fgColor indexed="64"/>
          <bgColor theme="2"/>
        </patternFill>
      </fill>
    </dxf>
    <dxf>
      <font>
        <b val="0"/>
        <i val="0"/>
        <strike val="0"/>
        <condense val="0"/>
        <extend val="0"/>
        <outline val="0"/>
        <shadow val="0"/>
        <u val="none"/>
        <vertAlign val="baseline"/>
        <sz val="9"/>
        <color auto="1"/>
        <name val="Arial"/>
        <family val="2"/>
        <scheme val="none"/>
      </font>
      <numFmt numFmtId="0" formatCode="General"/>
      <fill>
        <patternFill patternType="solid">
          <fgColor indexed="64"/>
          <bgColor theme="2"/>
        </patternFill>
      </fill>
    </dxf>
    <dxf>
      <font>
        <b val="0"/>
        <i val="0"/>
        <strike val="0"/>
        <condense val="0"/>
        <extend val="0"/>
        <outline val="0"/>
        <shadow val="0"/>
        <u val="none"/>
        <vertAlign val="baseline"/>
        <sz val="8"/>
        <color rgb="FF000000"/>
        <name val="Arial"/>
        <family val="2"/>
        <scheme val="none"/>
      </font>
      <fill>
        <patternFill patternType="solid">
          <fgColor indexed="64"/>
          <bgColor theme="2"/>
        </patternFill>
      </fill>
    </dxf>
    <dxf>
      <font>
        <b val="0"/>
        <i val="0"/>
        <strike val="0"/>
        <condense val="0"/>
        <extend val="0"/>
        <outline val="0"/>
        <shadow val="0"/>
        <u val="none"/>
        <vertAlign val="baseline"/>
        <sz val="9"/>
        <color rgb="FF000000"/>
        <name val="Arial"/>
        <family val="2"/>
        <scheme val="none"/>
      </font>
      <numFmt numFmtId="0" formatCode="General"/>
      <fill>
        <patternFill patternType="solid">
          <fgColor indexed="64"/>
          <bgColor theme="2"/>
        </patternFill>
      </fill>
    </dxf>
    <dxf>
      <font>
        <b val="0"/>
        <i val="0"/>
        <strike val="0"/>
        <condense val="0"/>
        <extend val="0"/>
        <outline val="0"/>
        <shadow val="0"/>
        <u val="none"/>
        <vertAlign val="baseline"/>
        <sz val="8"/>
        <color rgb="FF000000"/>
        <name val="Arial"/>
        <family val="2"/>
        <scheme val="none"/>
      </font>
      <fill>
        <patternFill patternType="solid">
          <fgColor indexed="64"/>
          <bgColor theme="2"/>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val="0"/>
        <i val="0"/>
        <strike val="0"/>
        <condense val="0"/>
        <extend val="0"/>
        <outline val="0"/>
        <shadow val="0"/>
        <u val="none"/>
        <vertAlign val="baseline"/>
        <sz val="8"/>
        <color rgb="FF000000"/>
        <name val="Arial"/>
        <family val="2"/>
        <scheme val="none"/>
      </font>
      <numFmt numFmtId="4" formatCode="#,##0.00"/>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i val="0"/>
        <strike val="0"/>
        <condense val="0"/>
        <extend val="0"/>
        <outline val="0"/>
        <shadow val="0"/>
        <u val="none"/>
        <vertAlign val="baseline"/>
        <sz val="8"/>
        <color auto="1"/>
        <name val="Arial"/>
        <family val="2"/>
        <scheme val="none"/>
      </font>
      <numFmt numFmtId="0" formatCode="General"/>
      <fill>
        <patternFill patternType="none">
          <fgColor indexed="64"/>
          <bgColor auto="1"/>
        </patternFill>
      </fill>
      <alignment horizontal="center" vertical="bottom" textRotation="0" wrapText="0" indent="0" justifyLastLine="0" shrinkToFit="0" readingOrder="0"/>
    </dxf>
    <dxf>
      <fill>
        <patternFill patternType="none">
          <fgColor indexed="64"/>
          <bgColor auto="1"/>
        </patternFill>
      </fill>
    </dxf>
    <dxf>
      <fill>
        <patternFill patternType="none">
          <fgColor rgb="FF000000"/>
          <bgColor auto="1"/>
        </patternFill>
      </fill>
    </dxf>
    <dxf>
      <font>
        <b val="0"/>
        <i val="0"/>
        <strike val="0"/>
        <condense val="0"/>
        <extend val="0"/>
        <outline val="0"/>
        <shadow val="0"/>
        <u val="none"/>
        <vertAlign val="baseline"/>
        <sz val="9"/>
        <color rgb="FF000000"/>
        <name val="Arial"/>
        <family val="2"/>
        <scheme val="none"/>
      </font>
      <numFmt numFmtId="8" formatCode="#,##0.00;[Red]\-#,##0.00"/>
      <fill>
        <patternFill patternType="none">
          <bgColor auto="1"/>
        </patternFill>
      </fill>
    </dxf>
    <dxf>
      <font>
        <b val="0"/>
        <i val="0"/>
        <strike val="0"/>
        <condense val="0"/>
        <extend val="0"/>
        <outline val="0"/>
        <shadow val="0"/>
        <u val="none"/>
        <vertAlign val="baseline"/>
        <sz val="9"/>
        <color rgb="FF000000"/>
        <name val="Arial"/>
        <family val="2"/>
        <scheme val="none"/>
      </font>
      <numFmt numFmtId="34" formatCode="_-&quot;$&quot;* #,##0.00_-;\-&quot;$&quot;* #,##0.00_-;_-&quot;$&quot;* &quot;-&quot;??_-;_-@_-"/>
      <fill>
        <patternFill patternType="none">
          <bgColor auto="1"/>
        </patternFill>
      </fill>
    </dxf>
    <dxf>
      <font>
        <b val="0"/>
        <i val="0"/>
        <strike val="0"/>
        <condense val="0"/>
        <extend val="0"/>
        <outline val="0"/>
        <shadow val="0"/>
        <u val="none"/>
        <vertAlign val="baseline"/>
        <sz val="9"/>
        <color rgb="FF000000"/>
        <name val="Arial"/>
        <family val="2"/>
        <scheme val="none"/>
      </font>
      <numFmt numFmtId="34" formatCode="_-&quot;$&quot;* #,##0.00_-;\-&quot;$&quot;* #,##0.00_-;_-&quot;$&quot;* &quot;-&quot;??_-;_-@_-"/>
      <fill>
        <patternFill patternType="none">
          <bgColor auto="1"/>
        </patternFill>
      </fill>
    </dxf>
    <dxf>
      <font>
        <b val="0"/>
        <i val="0"/>
        <strike val="0"/>
        <condense val="0"/>
        <extend val="0"/>
        <outline val="0"/>
        <shadow val="0"/>
        <u val="none"/>
        <vertAlign val="baseline"/>
        <sz val="9"/>
        <color rgb="FF000000"/>
        <name val="Arial"/>
        <family val="2"/>
        <scheme val="none"/>
      </font>
      <numFmt numFmtId="172" formatCode="&quot;$&quot;#,##0.00"/>
      <fill>
        <patternFill patternType="none">
          <bgColor auto="1"/>
        </patternFill>
      </fill>
    </dxf>
    <dxf>
      <font>
        <b val="0"/>
        <i val="0"/>
        <strike val="0"/>
        <condense val="0"/>
        <extend val="0"/>
        <outline val="0"/>
        <shadow val="0"/>
        <u val="none"/>
        <vertAlign val="baseline"/>
        <sz val="9"/>
        <color rgb="FF000000"/>
        <name val="Arial"/>
        <family val="2"/>
        <scheme val="none"/>
      </font>
      <numFmt numFmtId="172" formatCode="&quot;$&quot;#,##0.00"/>
      <fill>
        <patternFill patternType="none">
          <bgColor auto="1"/>
        </patternFill>
      </fill>
    </dxf>
    <dxf>
      <font>
        <b val="0"/>
        <i val="0"/>
        <strike val="0"/>
        <condense val="0"/>
        <extend val="0"/>
        <outline val="0"/>
        <shadow val="0"/>
        <u val="none"/>
        <vertAlign val="baseline"/>
        <sz val="9"/>
        <color rgb="FF000000"/>
        <name val="Arial"/>
        <family val="2"/>
        <scheme val="none"/>
      </font>
      <numFmt numFmtId="8" formatCode="#,##0.00;[Red]\-#,##0.00"/>
      <fill>
        <patternFill patternType="none">
          <bgColor auto="1"/>
        </patternFill>
      </fill>
    </dxf>
    <dxf>
      <font>
        <b val="0"/>
        <i val="0"/>
        <strike val="0"/>
        <condense val="0"/>
        <extend val="0"/>
        <outline val="0"/>
        <shadow val="0"/>
        <u val="none"/>
        <vertAlign val="baseline"/>
        <sz val="9"/>
        <color auto="1"/>
        <name val="Arial"/>
        <family val="2"/>
        <scheme val="none"/>
      </font>
      <numFmt numFmtId="8" formatCode="#,##0.00;[Red]\-#,##0.00"/>
      <fill>
        <patternFill patternType="none">
          <fgColor theme="4" tint="0.79998168889431442"/>
          <bgColor auto="1"/>
        </patternFill>
      </fill>
      <border diagonalUp="0" diagonalDown="0" outline="0">
        <left/>
        <right/>
        <top style="thin">
          <color theme="4" tint="0.39997558519241921"/>
        </top>
        <bottom style="thin">
          <color theme="4" tint="0.39997558519241921"/>
        </bottom>
      </border>
    </dxf>
    <dxf>
      <font>
        <b/>
        <i val="0"/>
        <strike val="0"/>
        <condense val="0"/>
        <extend val="0"/>
        <outline val="0"/>
        <shadow val="0"/>
        <u val="none"/>
        <vertAlign val="baseline"/>
        <sz val="9"/>
        <color rgb="FF000000"/>
        <name val="Arial"/>
        <family val="2"/>
        <scheme val="none"/>
      </font>
      <numFmt numFmtId="0" formatCode="General"/>
      <fill>
        <patternFill patternType="none">
          <fgColor indexed="64"/>
          <bgColor indexed="65"/>
        </patternFill>
      </fill>
    </dxf>
    <dxf>
      <font>
        <b val="0"/>
        <i val="0"/>
        <strike val="0"/>
        <condense val="0"/>
        <extend val="0"/>
        <outline val="0"/>
        <shadow val="0"/>
        <u val="none"/>
        <vertAlign val="baseline"/>
        <sz val="9"/>
        <color rgb="FF000000"/>
        <name val="Arial"/>
        <family val="2"/>
        <scheme val="none"/>
      </font>
      <numFmt numFmtId="0" formatCode="General"/>
      <fill>
        <patternFill patternType="none">
          <fgColor indexed="64"/>
          <bgColor indexed="65"/>
        </patternFill>
      </fill>
    </dxf>
    <dxf>
      <font>
        <b val="0"/>
        <i val="0"/>
        <strike val="0"/>
        <condense val="0"/>
        <extend val="0"/>
        <outline val="0"/>
        <shadow val="0"/>
        <u val="none"/>
        <vertAlign val="baseline"/>
        <sz val="9"/>
        <color rgb="FF000000"/>
        <name val="Arial"/>
        <family val="2"/>
        <scheme val="none"/>
      </font>
      <fill>
        <patternFill patternType="none">
          <bgColor auto="1"/>
        </patternFill>
      </fill>
    </dxf>
    <dxf>
      <font>
        <b val="0"/>
        <i val="0"/>
        <strike val="0"/>
        <condense val="0"/>
        <extend val="0"/>
        <outline val="0"/>
        <shadow val="0"/>
        <u val="none"/>
        <vertAlign val="baseline"/>
        <sz val="9"/>
        <color rgb="FF000000"/>
        <name val="Arial"/>
        <family val="2"/>
        <scheme val="none"/>
      </font>
      <fill>
        <patternFill patternType="none">
          <bgColor auto="1"/>
        </patternFill>
      </fill>
    </dxf>
    <dxf>
      <numFmt numFmtId="35" formatCode="_-* #,##0.00_-;\-* #,##0.00_-;_-* &quot;-&quot;??_-;_-@_-"/>
      <fill>
        <patternFill patternType="none">
          <fgColor indexed="64"/>
          <bgColor auto="1"/>
        </patternFill>
      </fill>
    </dxf>
    <dxf>
      <font>
        <b val="0"/>
        <i val="0"/>
        <strike val="0"/>
        <condense val="0"/>
        <extend val="0"/>
        <outline val="0"/>
        <shadow val="0"/>
        <u val="none"/>
        <vertAlign val="baseline"/>
        <sz val="8"/>
        <color auto="1"/>
        <name val="Arial"/>
        <family val="2"/>
        <scheme val="none"/>
      </font>
      <numFmt numFmtId="178" formatCode="#,##0.00_ ;[Red]\-#,##0.00\ "/>
      <fill>
        <patternFill patternType="none">
          <fgColor indexed="64"/>
          <bgColor auto="1"/>
        </patternFill>
      </fill>
    </dxf>
    <dxf>
      <font>
        <b val="0"/>
        <i val="0"/>
        <strike val="0"/>
        <condense val="0"/>
        <extend val="0"/>
        <outline val="0"/>
        <shadow val="0"/>
        <u val="none"/>
        <vertAlign val="baseline"/>
        <sz val="8"/>
        <color auto="1"/>
        <name val="Arial"/>
        <family val="2"/>
        <scheme val="none"/>
      </font>
      <numFmt numFmtId="178" formatCode="#,##0.00_ ;[Red]\-#,##0.00\ "/>
      <fill>
        <patternFill patternType="none">
          <fgColor indexed="64"/>
          <bgColor auto="1"/>
        </patternFill>
      </fill>
    </dxf>
    <dxf>
      <numFmt numFmtId="187" formatCode="#,##0.00_);[Red]\(#,##0.00\)"/>
      <fill>
        <patternFill patternType="none">
          <fgColor indexed="64"/>
          <bgColor auto="1"/>
        </patternFill>
      </fill>
    </dxf>
    <dxf>
      <numFmt numFmtId="0" formatCode="General"/>
      <fill>
        <patternFill patternType="none">
          <fgColor indexed="64"/>
          <bgColor auto="1"/>
        </patternFill>
      </fill>
    </dxf>
    <dxf>
      <font>
        <b val="0"/>
        <i val="0"/>
        <strike val="0"/>
        <condense val="0"/>
        <extend val="0"/>
        <outline val="0"/>
        <shadow val="0"/>
        <u val="none"/>
        <vertAlign val="baseline"/>
        <sz val="9"/>
        <color auto="1"/>
        <name val="Arial"/>
        <family val="2"/>
        <scheme val="none"/>
      </font>
      <numFmt numFmtId="184" formatCode="[$-1009]d/mmm/yy;@"/>
    </dxf>
    <dxf>
      <numFmt numFmtId="8" formatCode="#,##0.00;[Red]\-#,##0.00"/>
      <fill>
        <patternFill patternType="none">
          <fgColor indexed="64"/>
          <bgColor auto="1"/>
        </patternFill>
      </fill>
    </dxf>
    <dxf>
      <fill>
        <patternFill patternType="none">
          <fgColor indexed="64"/>
          <bgColor auto="1"/>
        </patternFill>
      </fill>
    </dxf>
    <dxf>
      <numFmt numFmtId="187" formatCode="#,##0.00_);[Red]\(#,##0.00\)"/>
      <fill>
        <patternFill patternType="none">
          <fgColor indexed="64"/>
          <bgColor auto="1"/>
        </patternFill>
      </fill>
    </dxf>
    <dxf>
      <fill>
        <patternFill patternType="none">
          <fgColor indexed="64"/>
          <bgColor auto="1"/>
        </patternFill>
      </fill>
    </dxf>
    <dxf>
      <font>
        <b val="0"/>
        <i val="0"/>
        <strike val="0"/>
        <condense val="0"/>
        <extend val="0"/>
        <outline val="0"/>
        <shadow val="0"/>
        <u val="none"/>
        <vertAlign val="baseline"/>
        <sz val="9"/>
        <color rgb="FF000000"/>
        <name val="Arial"/>
        <family val="2"/>
        <scheme val="none"/>
      </font>
      <numFmt numFmtId="187" formatCode="#,##0.00_);[Red]\(#,##0.00\)"/>
      <fill>
        <patternFill patternType="none">
          <fgColor indexed="64"/>
          <bgColor auto="1"/>
        </patternFill>
      </fill>
    </dxf>
    <dxf>
      <font>
        <b val="0"/>
        <i val="0"/>
        <strike val="0"/>
        <condense val="0"/>
        <extend val="0"/>
        <outline val="0"/>
        <shadow val="0"/>
        <u val="none"/>
        <vertAlign val="baseline"/>
        <sz val="9"/>
        <color rgb="FF000000"/>
        <name val="Arial"/>
        <family val="2"/>
        <scheme val="none"/>
      </font>
      <numFmt numFmtId="187" formatCode="#,##0.00_);[Red]\(#,##0.00\)"/>
      <fill>
        <patternFill patternType="none">
          <fgColor indexed="64"/>
          <bgColor auto="1"/>
        </patternFill>
      </fill>
    </dxf>
    <dxf>
      <fill>
        <patternFill patternType="none">
          <fgColor indexed="64"/>
          <bgColor auto="1"/>
        </patternFill>
      </fill>
    </dxf>
    <dxf>
      <font>
        <b val="0"/>
        <i val="0"/>
        <strike val="0"/>
        <condense val="0"/>
        <extend val="0"/>
        <outline val="0"/>
        <shadow val="0"/>
        <u val="none"/>
        <vertAlign val="baseline"/>
        <sz val="9"/>
        <color rgb="FF000000"/>
        <name val="Arial"/>
        <family val="2"/>
        <scheme val="none"/>
      </font>
      <fill>
        <patternFill patternType="none">
          <fgColor indexed="64"/>
          <bgColor auto="1"/>
        </patternFill>
      </fill>
    </dxf>
    <dxf>
      <fill>
        <patternFill patternType="none">
          <fgColor indexed="64"/>
          <bgColor auto="1"/>
        </patternFill>
      </fill>
    </dxf>
    <dxf>
      <font>
        <b val="0"/>
        <i val="0"/>
        <strike val="0"/>
        <condense val="0"/>
        <extend val="0"/>
        <outline val="0"/>
        <shadow val="0"/>
        <u val="none"/>
        <vertAlign val="baseline"/>
        <sz val="9"/>
        <color rgb="FF000000"/>
        <name val="Arial"/>
        <family val="2"/>
        <scheme val="none"/>
      </font>
      <numFmt numFmtId="6" formatCode="#,##0;[Red]\-#,##0"/>
      <fill>
        <patternFill patternType="none">
          <fgColor indexed="64"/>
          <bgColor auto="1"/>
        </patternFill>
      </fill>
    </dxf>
    <dxf>
      <font>
        <b val="0"/>
        <i val="0"/>
        <strike val="0"/>
        <condense val="0"/>
        <extend val="0"/>
        <outline val="0"/>
        <shadow val="0"/>
        <u val="none"/>
        <vertAlign val="baseline"/>
        <sz val="9"/>
        <color auto="1"/>
        <name val="Arial"/>
        <family val="2"/>
        <scheme val="none"/>
      </font>
      <numFmt numFmtId="1" formatCode="0"/>
      <fill>
        <patternFill patternType="none">
          <fgColor indexed="64"/>
          <bgColor auto="1"/>
        </patternFill>
      </fill>
    </dxf>
    <dxf>
      <numFmt numFmtId="1" formatCode="0"/>
      <fill>
        <patternFill patternType="none">
          <fgColor indexed="64"/>
          <bgColor auto="1"/>
        </patternFill>
      </fill>
    </dxf>
    <dxf>
      <font>
        <b val="0"/>
        <i val="0"/>
        <strike val="0"/>
        <condense val="0"/>
        <extend val="0"/>
        <outline val="0"/>
        <shadow val="0"/>
        <u val="none"/>
        <vertAlign val="baseline"/>
        <sz val="8"/>
        <color rgb="FF000000"/>
        <name val="Arial"/>
        <family val="2"/>
        <scheme val="none"/>
      </font>
      <numFmt numFmtId="8" formatCode="#,##0.00;[Red]\-#,##0.00"/>
      <fill>
        <patternFill patternType="none">
          <fgColor indexed="64"/>
          <bgColor auto="1"/>
        </patternFill>
      </fill>
    </dxf>
    <dxf>
      <font>
        <b val="0"/>
        <i val="0"/>
        <strike val="0"/>
        <condense val="0"/>
        <extend val="0"/>
        <outline val="0"/>
        <shadow val="0"/>
        <u val="none"/>
        <vertAlign val="baseline"/>
        <sz val="8"/>
        <color rgb="FF000000"/>
        <name val="Arial"/>
        <family val="2"/>
        <scheme val="none"/>
      </font>
      <numFmt numFmtId="8" formatCode="#,##0.00;[Red]\-#,##0.00"/>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val="0"/>
        <i val="0"/>
        <strike val="0"/>
        <condense val="0"/>
        <extend val="0"/>
        <outline val="0"/>
        <shadow val="0"/>
        <u val="none"/>
        <vertAlign val="baseline"/>
        <sz val="9"/>
        <color rgb="FF000000"/>
        <name val="Arial"/>
        <family val="2"/>
        <scheme val="none"/>
      </font>
      <numFmt numFmtId="0" formatCode="General"/>
      <fill>
        <patternFill patternType="none">
          <fgColor indexed="64"/>
          <bgColor auto="1"/>
        </patternFill>
      </fill>
    </dxf>
    <dxf>
      <font>
        <b val="0"/>
        <i val="0"/>
        <strike val="0"/>
        <condense val="0"/>
        <extend val="0"/>
        <outline val="0"/>
        <shadow val="0"/>
        <u val="none"/>
        <vertAlign val="baseline"/>
        <sz val="9"/>
        <color auto="1"/>
        <name val="Arial"/>
        <family val="2"/>
        <scheme val="none"/>
      </font>
      <numFmt numFmtId="0" formatCode="General"/>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val="0"/>
        <i val="0"/>
        <strike val="0"/>
        <condense val="0"/>
        <extend val="0"/>
        <outline val="0"/>
        <shadow val="0"/>
        <u val="none"/>
        <vertAlign val="baseline"/>
        <sz val="9"/>
        <color rgb="FF000000"/>
        <name val="Arial"/>
        <family val="2"/>
        <scheme val="none"/>
      </font>
      <numFmt numFmtId="1" formatCode="0"/>
      <fill>
        <patternFill patternType="none">
          <fgColor indexed="64"/>
          <bgColor auto="1"/>
        </patternFill>
      </fill>
    </dxf>
    <dxf>
      <font>
        <b val="0"/>
        <i val="0"/>
        <strike val="0"/>
        <condense val="0"/>
        <extend val="0"/>
        <outline val="0"/>
        <shadow val="0"/>
        <u val="none"/>
        <vertAlign val="baseline"/>
        <sz val="9"/>
        <color auto="1"/>
        <name val="Arial"/>
        <family val="2"/>
        <scheme val="none"/>
      </font>
      <numFmt numFmtId="0" formatCode="General"/>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val="0"/>
        <i val="0"/>
        <strike val="0"/>
        <condense val="0"/>
        <extend val="0"/>
        <outline val="0"/>
        <shadow val="0"/>
        <u val="none"/>
        <vertAlign val="baseline"/>
        <sz val="9"/>
        <color rgb="FF000000"/>
        <name val="Arial"/>
        <family val="2"/>
        <scheme val="none"/>
      </font>
      <numFmt numFmtId="0" formatCode="General"/>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val="0"/>
        <i val="0"/>
        <strike val="0"/>
        <condense val="0"/>
        <extend val="0"/>
        <outline val="0"/>
        <shadow val="0"/>
        <u val="none"/>
        <vertAlign val="baseline"/>
        <sz val="8"/>
        <color rgb="FF000000"/>
        <name val="Arial"/>
        <family val="2"/>
        <scheme val="none"/>
      </font>
      <numFmt numFmtId="4" formatCode="#,##0.00"/>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ill>
        <patternFill patternType="none">
          <fgColor indexed="64"/>
          <bgColor auto="1"/>
        </patternFill>
      </fill>
    </dxf>
    <dxf>
      <font>
        <b val="0"/>
        <i val="0"/>
        <strike val="0"/>
        <condense val="0"/>
        <extend val="0"/>
        <outline val="0"/>
        <shadow val="0"/>
        <u val="none"/>
        <vertAlign val="baseline"/>
        <sz val="8"/>
        <color rgb="FF000000"/>
        <name val="Arial"/>
        <family val="2"/>
        <scheme val="none"/>
      </font>
      <fill>
        <patternFill patternType="none">
          <fgColor indexed="64"/>
          <bgColor auto="1"/>
        </patternFill>
      </fill>
    </dxf>
    <dxf>
      <font>
        <b/>
        <i val="0"/>
        <strike val="0"/>
        <condense val="0"/>
        <extend val="0"/>
        <outline val="0"/>
        <shadow val="0"/>
        <u val="none"/>
        <vertAlign val="baseline"/>
        <sz val="8"/>
        <color auto="1"/>
        <name val="Arial"/>
        <family val="2"/>
        <scheme val="none"/>
      </font>
      <numFmt numFmtId="0" formatCode="General"/>
      <fill>
        <patternFill patternType="none">
          <fgColor indexed="64"/>
          <bgColor auto="1"/>
        </patternFill>
      </fill>
      <alignment horizontal="center" vertical="bottom" textRotation="0" wrapText="0" indent="0" justifyLastLine="0" shrinkToFit="0" readingOrder="0"/>
    </dxf>
    <dxf>
      <fill>
        <patternFill patternType="none">
          <fgColor indexed="64"/>
          <bgColor auto="1"/>
        </patternFill>
      </fill>
    </dxf>
    <dxf>
      <fill>
        <patternFill patternType="none">
          <fgColor rgb="FF000000"/>
          <bgColor auto="1"/>
        </patternFill>
      </fill>
    </dxf>
    <dxf>
      <fill>
        <patternFill patternType="none">
          <bgColor auto="1"/>
        </patternFill>
      </fill>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8" formatCode="#,##0.00;[Red]\-#,##0.00"/>
      <fill>
        <patternFill patternType="none">
          <fgColor rgb="FFFFFFFF"/>
          <bgColor auto="1"/>
        </patternFill>
      </fill>
    </dxf>
    <dxf>
      <font>
        <b val="0"/>
        <i val="0"/>
        <strike val="0"/>
        <condense val="0"/>
        <extend val="0"/>
        <outline val="0"/>
        <shadow val="0"/>
        <u val="none"/>
        <vertAlign val="baseline"/>
        <sz val="10"/>
        <color rgb="FF000000"/>
        <name val="Arial"/>
        <family val="2"/>
        <scheme val="none"/>
      </font>
      <alignment horizontal="general" vertical="top" textRotation="0" wrapText="0" indent="0" justifyLastLine="0" shrinkToFit="0" readingOrder="0"/>
    </dxf>
    <dxf>
      <font>
        <b val="0"/>
        <i val="0"/>
        <strike val="0"/>
        <condense val="0"/>
        <extend val="0"/>
        <outline val="0"/>
        <shadow val="0"/>
        <u val="none"/>
        <vertAlign val="baseline"/>
        <sz val="10"/>
        <color rgb="FF000000"/>
        <name val="Arial"/>
        <family val="2"/>
        <scheme val="none"/>
      </font>
      <fill>
        <patternFill patternType="none">
          <bgColor auto="1"/>
        </patternFill>
      </fill>
      <alignment horizontal="general" vertical="top" textRotation="0" wrapText="0" indent="0" justifyLastLine="0" shrinkToFit="0" readingOrder="0"/>
    </dxf>
    <dxf>
      <font>
        <b val="0"/>
        <i val="0"/>
        <strike val="0"/>
        <condense val="0"/>
        <extend val="0"/>
        <outline val="0"/>
        <shadow val="0"/>
        <u val="none"/>
        <vertAlign val="baseline"/>
        <sz val="10"/>
        <color rgb="FF000000"/>
        <name val="Arial"/>
        <family val="2"/>
        <scheme val="none"/>
      </font>
      <numFmt numFmtId="177" formatCode="[$-F800]dddd\,\ mmmm\ dd\,\ yyyy"/>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77" formatCode="[$-F800]dddd\,\ mmmm\ dd\,\ yyyy"/>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77" formatCode="[$-F800]dddd\,\ mmmm\ dd\,\ yyyy"/>
    </dxf>
    <dxf>
      <font>
        <b val="0"/>
        <i val="0"/>
        <strike val="0"/>
        <condense val="0"/>
        <extend val="0"/>
        <outline val="0"/>
        <shadow val="0"/>
        <u val="none"/>
        <vertAlign val="baseline"/>
        <sz val="10"/>
        <color rgb="FF000000"/>
        <name val="Arial"/>
        <family val="2"/>
        <scheme val="none"/>
      </font>
      <numFmt numFmtId="177" formatCode="[$-F800]dddd\,\ mmmm\ dd\,\ yyyy"/>
      <fill>
        <patternFill patternType="none">
          <bgColor auto="1"/>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family val="2"/>
        <scheme val="none"/>
      </font>
      <numFmt numFmtId="177" formatCode="[$-F800]dddd\,\ mmmm\ dd\,\ yyyy"/>
      <alignment horizontal="left" vertical="bottom" textRotation="0" wrapText="0" indent="0" justifyLastLine="0" shrinkToFit="0" readingOrder="0"/>
    </dxf>
    <dxf>
      <font>
        <b val="0"/>
        <i val="0"/>
        <strike val="0"/>
        <condense val="0"/>
        <extend val="0"/>
        <outline val="0"/>
        <shadow val="0"/>
        <u val="none"/>
        <vertAlign val="baseline"/>
        <sz val="10"/>
        <color rgb="FF000000"/>
        <name val="Arial"/>
        <family val="2"/>
        <scheme val="none"/>
      </font>
      <fill>
        <patternFill patternType="none">
          <bgColor auto="1"/>
        </patternFill>
      </fill>
      <alignment horizontal="left" vertical="bottom" textRotation="0" wrapText="0" indent="0" justifyLastLine="0" shrinkToFit="0" readingOrder="0"/>
    </dxf>
    <dxf>
      <font>
        <b val="0"/>
        <i val="0"/>
        <strike val="0"/>
        <condense val="0"/>
        <extend val="0"/>
        <outline val="0"/>
        <shadow val="0"/>
        <u val="none"/>
        <vertAlign val="baseline"/>
        <sz val="10"/>
        <color rgb="FF000000"/>
        <name val="Arial"/>
        <family val="2"/>
        <scheme val="none"/>
      </font>
      <numFmt numFmtId="177" formatCode="[$-F800]dddd\,\ mmmm\ dd\,\ yyyy"/>
      <alignment horizontal="right" vertical="bottom" textRotation="0" wrapText="0" indent="0" justifyLastLine="0" shrinkToFit="0" readingOrder="0"/>
    </dxf>
    <dxf>
      <font>
        <b val="0"/>
        <i val="0"/>
        <strike val="0"/>
        <condense val="0"/>
        <extend val="0"/>
        <outline val="0"/>
        <shadow val="0"/>
        <u val="none"/>
        <vertAlign val="baseline"/>
        <sz val="10"/>
        <color rgb="FF000000"/>
        <name val="Arial"/>
        <family val="2"/>
        <scheme val="none"/>
      </font>
      <numFmt numFmtId="177" formatCode="[$-F800]dddd\,\ mmmm\ dd\,\ yyyy"/>
      <fill>
        <patternFill patternType="none">
          <bgColor auto="1"/>
        </patternFill>
      </fill>
      <alignment horizontal="right" vertical="bottom" textRotation="0" wrapText="0" indent="0" justifyLastLine="0" shrinkToFit="0" readingOrder="0"/>
    </dxf>
    <dxf>
      <fill>
        <patternFill patternType="none">
          <bgColor auto="1"/>
        </patternFill>
      </fill>
    </dxf>
    <dxf>
      <fill>
        <patternFill patternType="none">
          <fgColor indexed="64"/>
          <bgColor auto="1"/>
        </patternFill>
      </fill>
      <alignment horizontal="center" vertical="bottom" textRotation="0" wrapText="0" indent="0" justifyLastLine="0" shrinkToFit="0" readingOrder="0"/>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alignment horizontal="left" vertical="bottom" textRotation="0" wrapText="0" indent="0" justifyLastLine="0" shrinkToFit="0" readingOrder="0"/>
    </dxf>
    <dxf>
      <font>
        <strike val="0"/>
        <outline val="0"/>
        <shadow val="0"/>
        <u val="none"/>
        <vertAlign val="baseline"/>
        <sz val="10"/>
        <name val="Arial"/>
        <family val="2"/>
        <scheme val="none"/>
      </font>
    </dxf>
    <dxf>
      <font>
        <strike val="0"/>
        <outline val="0"/>
        <shadow val="0"/>
        <u val="none"/>
        <vertAlign val="baseline"/>
        <sz val="10"/>
        <name val="Arial"/>
        <family val="2"/>
        <scheme val="none"/>
      </font>
      <numFmt numFmtId="8" formatCode="#,##0.00;[Red]\-#,##0.00"/>
    </dxf>
    <dxf>
      <font>
        <strike val="0"/>
        <outline val="0"/>
        <shadow val="0"/>
        <u val="none"/>
        <vertAlign val="baseline"/>
        <sz val="10"/>
        <name val="Arial"/>
        <family val="2"/>
        <scheme val="none"/>
      </font>
    </dxf>
    <dxf>
      <font>
        <b val="0"/>
        <i val="0"/>
        <strike val="0"/>
        <condense val="0"/>
        <extend val="0"/>
        <outline val="0"/>
        <shadow val="0"/>
        <u val="none"/>
        <vertAlign val="baseline"/>
        <sz val="10"/>
        <color rgb="FF000000"/>
        <name val="Arial"/>
        <family val="2"/>
        <scheme val="none"/>
      </font>
      <alignment horizontal="center" vertical="bottom" textRotation="0" wrapText="1" indent="0" justifyLastLine="0" shrinkToFit="0" readingOrder="0"/>
    </dxf>
    <dxf>
      <font>
        <strike val="0"/>
        <outline val="0"/>
        <shadow val="0"/>
        <u val="none"/>
        <vertAlign val="baseline"/>
        <sz val="10"/>
        <name val="Arial"/>
        <family val="2"/>
        <scheme val="none"/>
      </font>
      <alignment horizontal="left" vertical="top" textRotation="0" wrapText="1" justifyLastLine="0" shrinkToFit="0" readingOrder="0"/>
    </dxf>
    <dxf>
      <font>
        <strike val="0"/>
        <outline val="0"/>
        <shadow val="0"/>
        <u val="none"/>
        <vertAlign val="baseline"/>
        <sz val="10"/>
        <name val="Arial"/>
        <family val="2"/>
        <scheme val="none"/>
      </font>
      <numFmt numFmtId="177" formatCode="[$-F800]dddd\,\ mmmm\ dd\,\ yyyy"/>
      <alignment horizontal="left" vertical="top" textRotation="0" wrapText="0" justifyLastLine="0" shrinkToFit="0" readingOrder="0"/>
    </dxf>
    <dxf>
      <font>
        <strike val="0"/>
        <outline val="0"/>
        <shadow val="0"/>
        <u val="none"/>
        <vertAlign val="baseline"/>
        <sz val="10"/>
        <name val="Arial"/>
        <family val="2"/>
        <scheme val="none"/>
      </font>
      <numFmt numFmtId="30" formatCode="@"/>
    </dxf>
    <dxf>
      <font>
        <strike val="0"/>
        <outline val="0"/>
        <shadow val="0"/>
        <u val="none"/>
        <vertAlign val="baseline"/>
        <sz val="10"/>
        <name val="Arial"/>
        <family val="2"/>
        <scheme val="none"/>
      </font>
      <numFmt numFmtId="30" formatCode="@"/>
    </dxf>
    <dxf>
      <font>
        <b val="0"/>
        <i val="0"/>
        <strike val="0"/>
        <condense val="0"/>
        <extend val="0"/>
        <outline val="0"/>
        <shadow val="0"/>
        <u val="none"/>
        <vertAlign val="baseline"/>
        <sz val="10"/>
        <color rgb="FF000000"/>
        <name val="Arial"/>
        <family val="2"/>
        <scheme val="none"/>
      </font>
      <alignment horizontal="center" vertical="bottom" textRotation="0" wrapText="0" indent="0" justifyLastLine="0" shrinkToFit="0" readingOrder="0"/>
    </dxf>
    <dxf>
      <font>
        <strike val="0"/>
        <outline val="0"/>
        <shadow val="0"/>
        <u val="none"/>
        <vertAlign val="baseline"/>
        <sz val="10"/>
        <name val="Arial"/>
        <family val="2"/>
        <scheme val="none"/>
      </font>
      <alignment horizontal="center" vertical="bottom" textRotation="0" wrapText="0" indent="0" justifyLastLine="0" shrinkToFit="0" readingOrder="0"/>
    </dxf>
    <dxf>
      <font>
        <strike val="0"/>
        <outline val="0"/>
        <shadow val="0"/>
        <u val="none"/>
        <vertAlign val="baseline"/>
        <sz val="10"/>
        <name val="Arial"/>
        <family val="2"/>
        <scheme val="none"/>
      </font>
    </dxf>
    <dxf>
      <font>
        <strike val="0"/>
        <outline val="0"/>
        <shadow val="0"/>
        <u val="none"/>
        <vertAlign val="baseline"/>
        <sz val="10"/>
        <color theme="0"/>
        <name val="Arial"/>
        <family val="2"/>
        <scheme val="none"/>
      </font>
    </dxf>
    <dxf>
      <font>
        <b val="0"/>
        <i val="0"/>
        <strike val="0"/>
        <condense val="0"/>
        <extend val="0"/>
        <outline val="0"/>
        <shadow val="0"/>
        <u val="none"/>
        <vertAlign val="baseline"/>
        <sz val="9"/>
        <color theme="1"/>
        <name val="Arial"/>
        <family val="2"/>
        <scheme val="none"/>
      </font>
      <numFmt numFmtId="8" formatCode="#,##0.00;[Red]\-#,##0.00"/>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9"/>
        <color theme="1"/>
        <name val="Arial"/>
        <family val="2"/>
        <scheme val="none"/>
      </font>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9"/>
        <color theme="1"/>
        <name val="Arial"/>
        <family val="2"/>
        <scheme val="none"/>
      </font>
      <numFmt numFmtId="1" formatCode="0"/>
      <border diagonalUp="0" diagonalDown="0">
        <left/>
        <right/>
        <top style="thin">
          <color theme="4" tint="0.39997558519241921"/>
        </top>
        <bottom style="thin">
          <color theme="4" tint="0.39997558519241921"/>
        </bottom>
        <vertical/>
        <horizontal/>
      </border>
    </dxf>
    <dxf>
      <border outline="0">
        <left style="thin">
          <color theme="4" tint="0.39997558519241921"/>
        </left>
        <right style="thin">
          <color theme="4" tint="0.39997558519241921"/>
        </right>
        <top style="thin">
          <color theme="4" tint="0.39997558519241921"/>
        </top>
      </border>
    </dxf>
    <dxf>
      <numFmt numFmtId="186" formatCode="[$-409]mmmm\ d\,\ yyyy;@"/>
    </dxf>
    <dxf>
      <font>
        <strike val="0"/>
        <outline val="0"/>
        <shadow val="0"/>
        <u val="none"/>
        <vertAlign val="baseline"/>
        <color theme="0"/>
        <name val="Arial"/>
        <scheme val="none"/>
      </font>
      <fill>
        <patternFill patternType="none">
          <bgColor auto="1"/>
        </patternFill>
      </fill>
    </dxf>
    <dxf>
      <fill>
        <patternFill patternType="solid">
          <fgColor indexed="64"/>
          <bgColor theme="2"/>
        </patternFill>
      </fill>
    </dxf>
    <dxf>
      <fill>
        <patternFill patternType="solid">
          <fgColor indexed="64"/>
          <bgColor theme="2"/>
        </patternFill>
      </fill>
    </dxf>
    <dxf>
      <fill>
        <patternFill patternType="solid">
          <fgColor indexed="64"/>
          <bgColor theme="2"/>
        </patternFill>
      </fill>
    </dxf>
    <dxf>
      <fill>
        <patternFill patternType="solid">
          <fgColor indexed="64"/>
          <bgColor theme="2"/>
        </patternFill>
      </fill>
    </dxf>
    <dxf>
      <fill>
        <patternFill patternType="solid">
          <fgColor indexed="64"/>
          <bgColor theme="2"/>
        </patternFill>
      </fill>
    </dxf>
    <dxf>
      <numFmt numFmtId="186" formatCode="[$-409]mmmm\ d\,\ yyyy;@"/>
      <fill>
        <patternFill patternType="solid">
          <fgColor indexed="64"/>
          <bgColor theme="2"/>
        </patternFill>
      </fill>
    </dxf>
    <dxf>
      <fill>
        <patternFill patternType="solid">
          <fgColor indexed="64"/>
          <bgColor theme="2"/>
        </patternFill>
      </fill>
    </dxf>
    <dxf>
      <fill>
        <patternFill patternType="solid">
          <fgColor indexed="64"/>
          <bgColor theme="2"/>
        </patternFill>
      </fill>
    </dxf>
    <dxf>
      <font>
        <b/>
        <i val="0"/>
        <strike val="0"/>
        <condense val="0"/>
        <extend val="0"/>
        <outline val="0"/>
        <shadow val="0"/>
        <u val="none"/>
        <vertAlign val="baseline"/>
        <sz val="9"/>
        <color theme="0"/>
        <name val="Arial"/>
        <family val="2"/>
        <scheme val="none"/>
      </font>
      <fill>
        <patternFill patternType="solid">
          <fgColor theme="4"/>
          <bgColor theme="4"/>
        </patternFill>
      </fill>
    </dxf>
    <dxf>
      <font>
        <b val="0"/>
        <i val="0"/>
        <strike val="0"/>
        <condense val="0"/>
        <extend val="0"/>
        <outline val="0"/>
        <shadow val="0"/>
        <u val="none"/>
        <vertAlign val="baseline"/>
        <sz val="8"/>
        <color auto="1"/>
        <name val="Arial"/>
        <family val="2"/>
        <scheme val="none"/>
      </font>
      <numFmt numFmtId="8" formatCode="#,##0.00;[Red]\-#,##0.00"/>
      <alignment horizontal="right" vertical="bottom" textRotation="0" wrapText="0" indent="0" justifyLastLine="0" shrinkToFit="0" readingOrder="0"/>
    </dxf>
    <dxf>
      <font>
        <b val="0"/>
        <i val="0"/>
        <strike val="0"/>
        <condense val="0"/>
        <extend val="0"/>
        <outline val="0"/>
        <shadow val="0"/>
        <u val="none"/>
        <vertAlign val="baseline"/>
        <sz val="8"/>
        <color auto="1"/>
        <name val="Arial"/>
        <family val="2"/>
        <scheme val="none"/>
      </font>
      <numFmt numFmtId="8" formatCode="#,##0.00;[Red]\-#,##0.00"/>
      <alignment horizontal="right" vertical="bottom" textRotation="0" wrapText="0" indent="0" justifyLastLine="0" shrinkToFit="0" readingOrder="0"/>
    </dxf>
    <dxf>
      <font>
        <b val="0"/>
        <i val="0"/>
        <strike val="0"/>
        <condense val="0"/>
        <extend val="0"/>
        <outline val="0"/>
        <shadow val="0"/>
        <u val="none"/>
        <vertAlign val="baseline"/>
        <sz val="8"/>
        <color auto="1"/>
        <name val="Arial"/>
        <family val="2"/>
        <scheme val="none"/>
      </font>
      <numFmt numFmtId="8" formatCode="#,##0.00;[Red]\-#,##0.00"/>
      <alignment horizontal="right" vertical="bottom" textRotation="0" wrapText="0" indent="0" justifyLastLine="0" shrinkToFit="0" readingOrder="0"/>
    </dxf>
    <dxf>
      <font>
        <b val="0"/>
        <i val="0"/>
        <strike val="0"/>
        <condense val="0"/>
        <extend val="0"/>
        <outline val="0"/>
        <shadow val="0"/>
        <u val="none"/>
        <vertAlign val="baseline"/>
        <sz val="8"/>
        <color auto="1"/>
        <name val="Arial"/>
        <family val="2"/>
        <scheme val="none"/>
      </font>
      <numFmt numFmtId="8" formatCode="#,##0.00;[Red]\-#,##0.00"/>
      <alignment horizontal="right" vertical="bottom" textRotation="0" wrapText="0" indent="0" justifyLastLine="0" shrinkToFit="0" readingOrder="0"/>
    </dxf>
    <dxf>
      <font>
        <b val="0"/>
        <i val="0"/>
        <strike val="0"/>
        <condense val="0"/>
        <extend val="0"/>
        <outline val="0"/>
        <shadow val="0"/>
        <u val="none"/>
        <vertAlign val="baseline"/>
        <sz val="8"/>
        <color auto="1"/>
        <name val="Arial"/>
        <family val="2"/>
        <scheme val="none"/>
      </font>
      <numFmt numFmtId="8" formatCode="#,##0.00;[Red]\-#,##0.00"/>
      <alignment horizontal="right" vertical="bottom" textRotation="0" wrapText="0" indent="0" justifyLastLine="0" shrinkToFit="0" readingOrder="0"/>
    </dxf>
    <dxf>
      <font>
        <b val="0"/>
        <i val="0"/>
        <strike val="0"/>
        <condense val="0"/>
        <extend val="0"/>
        <outline val="0"/>
        <shadow val="0"/>
        <u val="none"/>
        <vertAlign val="baseline"/>
        <sz val="8"/>
        <color auto="1"/>
        <name val="Arial"/>
        <family val="2"/>
        <scheme val="none"/>
      </font>
      <numFmt numFmtId="8" formatCode="#,##0.00;[Red]\-#,##0.00"/>
      <alignment horizontal="right" vertical="bottom" textRotation="0" wrapText="0" indent="0" justifyLastLine="0" shrinkToFit="0" readingOrder="0"/>
    </dxf>
    <dxf>
      <font>
        <b val="0"/>
        <i val="0"/>
        <strike val="0"/>
        <condense val="0"/>
        <extend val="0"/>
        <outline val="0"/>
        <shadow val="0"/>
        <u val="none"/>
        <vertAlign val="baseline"/>
        <sz val="8"/>
        <color auto="1"/>
        <name val="Arial"/>
        <family val="2"/>
        <scheme val="none"/>
      </font>
      <numFmt numFmtId="8" formatCode="#,##0.00;[Red]\-#,##0.00"/>
      <alignment horizontal="right" vertical="bottom" textRotation="0" wrapText="0" indent="0" justifyLastLine="0" shrinkToFit="0" readingOrder="0"/>
    </dxf>
    <dxf>
      <font>
        <b val="0"/>
        <i val="0"/>
        <strike val="0"/>
        <condense val="0"/>
        <extend val="0"/>
        <outline val="0"/>
        <shadow val="0"/>
        <u val="none"/>
        <vertAlign val="baseline"/>
        <sz val="8"/>
        <color auto="1"/>
        <name val="Arial"/>
        <family val="2"/>
        <scheme val="none"/>
      </font>
      <numFmt numFmtId="8" formatCode="#,##0.00;[Red]\-#,##0.00"/>
      <alignment horizontal="right" vertical="bottom" textRotation="0" wrapText="0" indent="0" justifyLastLine="0" shrinkToFit="0" readingOrder="0"/>
    </dxf>
    <dxf>
      <font>
        <b val="0"/>
        <i val="0"/>
        <strike val="0"/>
        <condense val="0"/>
        <extend val="0"/>
        <outline val="0"/>
        <shadow val="0"/>
        <u val="none"/>
        <vertAlign val="baseline"/>
        <sz val="8"/>
        <color auto="1"/>
        <name val="Arial"/>
        <family val="2"/>
        <scheme val="none"/>
      </font>
      <numFmt numFmtId="8" formatCode="#,##0.00;[Red]\-#,##0.00"/>
      <alignment horizontal="right" vertical="bottom" textRotation="0" wrapText="0" indent="0" justifyLastLine="0" shrinkToFit="0" readingOrder="0"/>
    </dxf>
    <dxf>
      <font>
        <b val="0"/>
        <i val="0"/>
        <strike val="0"/>
        <condense val="0"/>
        <extend val="0"/>
        <outline val="0"/>
        <shadow val="0"/>
        <u val="none"/>
        <vertAlign val="baseline"/>
        <sz val="8"/>
        <color auto="1"/>
        <name val="Arial"/>
        <family val="2"/>
        <scheme val="none"/>
      </font>
      <numFmt numFmtId="8" formatCode="#,##0.00;[Red]\-#,##0.00"/>
      <alignment horizontal="right" vertical="bottom" textRotation="0" wrapText="0" indent="0" justifyLastLine="0" shrinkToFit="0" readingOrder="0"/>
    </dxf>
    <dxf>
      <font>
        <b val="0"/>
        <i val="0"/>
        <strike val="0"/>
        <condense val="0"/>
        <extend val="0"/>
        <outline val="0"/>
        <shadow val="0"/>
        <u val="none"/>
        <vertAlign val="baseline"/>
        <sz val="8"/>
        <color auto="1"/>
        <name val="Arial"/>
        <family val="2"/>
        <scheme val="none"/>
      </font>
      <numFmt numFmtId="8" formatCode="#,##0.00;[Red]\-#,##0.00"/>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8" formatCode="#,##0.00;[Red]\-#,##0.00"/>
      <border diagonalUp="0" diagonalDown="0">
        <left/>
        <right/>
        <top/>
        <bottom style="thin">
          <color rgb="FF000000"/>
        </bottom>
        <vertical/>
        <horizontal/>
      </border>
    </dxf>
    <dxf>
      <font>
        <b val="0"/>
        <i val="0"/>
        <strike val="0"/>
        <condense val="0"/>
        <extend val="0"/>
        <outline val="0"/>
        <shadow val="0"/>
        <u val="none"/>
        <vertAlign val="baseline"/>
        <sz val="10"/>
        <color auto="1"/>
        <name val="Arial"/>
        <family val="2"/>
        <scheme val="none"/>
      </font>
      <numFmt numFmtId="8" formatCode="#,##0.00;[Red]\-#,##0.00"/>
      <border diagonalUp="0" diagonalDown="0">
        <left/>
        <right/>
        <top/>
        <bottom style="thin">
          <color rgb="FF000000"/>
        </bottom>
        <vertical/>
        <horizontal/>
      </border>
    </dxf>
    <dxf>
      <font>
        <b val="0"/>
        <i val="0"/>
        <strike val="0"/>
        <condense val="0"/>
        <extend val="0"/>
        <outline val="0"/>
        <shadow val="0"/>
        <u val="none"/>
        <vertAlign val="baseline"/>
        <sz val="8"/>
        <color auto="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8"/>
        <color auto="1"/>
        <name val="Arial"/>
        <family val="2"/>
        <scheme val="none"/>
      </font>
      <numFmt numFmtId="186" formatCode="[$-409]mmmm\ d\,\ yyyy;@"/>
      <alignment horizontal="right" vertical="bottom" textRotation="0" wrapText="0" indent="0" justifyLastLine="0" shrinkToFit="0" readingOrder="0"/>
    </dxf>
    <dxf>
      <font>
        <b val="0"/>
        <i val="0"/>
        <strike val="0"/>
        <condense val="0"/>
        <extend val="0"/>
        <outline val="0"/>
        <shadow val="0"/>
        <u val="none"/>
        <vertAlign val="baseline"/>
        <sz val="8"/>
        <color auto="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8"/>
        <color auto="1"/>
        <name val="Arial"/>
        <family val="2"/>
        <scheme val="none"/>
      </font>
      <alignment horizontal="right" vertical="bottom" textRotation="0" wrapText="0" indent="0" justifyLastLine="0" shrinkToFit="0" readingOrder="0"/>
    </dxf>
    <dxf>
      <font>
        <strike val="0"/>
        <outline val="0"/>
        <shadow val="0"/>
        <u val="none"/>
        <vertAlign val="baseline"/>
        <color theme="0"/>
        <name val="Arial"/>
        <family val="2"/>
        <scheme val="none"/>
      </font>
      <fill>
        <patternFill patternType="none">
          <fgColor indexed="64"/>
          <bgColor auto="1"/>
        </patternFill>
      </fill>
    </dxf>
    <dxf>
      <font>
        <b val="0"/>
        <i val="0"/>
        <strike val="0"/>
        <condense val="0"/>
        <extend val="0"/>
        <outline val="0"/>
        <shadow val="0"/>
        <u val="none"/>
        <vertAlign val="baseline"/>
        <sz val="9"/>
        <color rgb="FF000000"/>
        <name val="Arial"/>
        <family val="2"/>
        <scheme val="none"/>
      </font>
      <fill>
        <patternFill patternType="none">
          <fgColor indexed="64"/>
          <bgColor indexed="65"/>
        </patternFill>
      </fill>
    </dxf>
    <dxf>
      <font>
        <strike val="0"/>
        <outline val="0"/>
        <shadow val="0"/>
        <u val="none"/>
        <vertAlign val="baseline"/>
        <sz val="9"/>
        <name val="Arial"/>
        <scheme val="none"/>
      </font>
      <numFmt numFmtId="8" formatCode="#,##0.00;[Red]\-#,##0.00"/>
      <fill>
        <patternFill patternType="none">
          <bgColor auto="1"/>
        </patternFill>
      </fill>
    </dxf>
    <dxf>
      <font>
        <b val="0"/>
        <i val="0"/>
        <strike val="0"/>
        <condense val="0"/>
        <extend val="0"/>
        <outline val="0"/>
        <shadow val="0"/>
        <u val="none"/>
        <vertAlign val="baseline"/>
        <sz val="9"/>
        <color rgb="FF000000"/>
        <name val="Arial"/>
        <family val="2"/>
        <scheme val="none"/>
      </font>
      <fill>
        <patternFill patternType="none">
          <fgColor indexed="64"/>
          <bgColor indexed="65"/>
        </patternFill>
      </fill>
    </dxf>
    <dxf>
      <font>
        <strike val="0"/>
        <outline val="0"/>
        <shadow val="0"/>
        <u val="none"/>
        <vertAlign val="baseline"/>
        <sz val="9"/>
        <name val="Arial"/>
        <scheme val="none"/>
      </font>
      <numFmt numFmtId="8" formatCode="#,##0.00;[Red]\-#,##0.00"/>
      <fill>
        <patternFill patternType="none">
          <bgColor auto="1"/>
        </patternFill>
      </fill>
    </dxf>
    <dxf>
      <font>
        <b val="0"/>
        <i val="0"/>
        <strike val="0"/>
        <condense val="0"/>
        <extend val="0"/>
        <outline val="0"/>
        <shadow val="0"/>
        <u val="none"/>
        <vertAlign val="baseline"/>
        <sz val="9"/>
        <color rgb="FF000000"/>
        <name val="Arial"/>
        <family val="2"/>
        <scheme val="none"/>
      </font>
      <fill>
        <patternFill patternType="none">
          <fgColor indexed="64"/>
          <bgColor indexed="65"/>
        </patternFill>
      </fill>
    </dxf>
    <dxf>
      <font>
        <strike val="0"/>
        <outline val="0"/>
        <shadow val="0"/>
        <u val="none"/>
        <vertAlign val="baseline"/>
        <sz val="9"/>
        <name val="Arial"/>
        <scheme val="none"/>
      </font>
      <numFmt numFmtId="0" formatCode="General"/>
      <fill>
        <patternFill patternType="none">
          <bgColor auto="1"/>
        </patternFill>
      </fill>
    </dxf>
    <dxf>
      <font>
        <b val="0"/>
        <i val="0"/>
        <strike val="0"/>
        <condense val="0"/>
        <extend val="0"/>
        <outline val="0"/>
        <shadow val="0"/>
        <u val="none"/>
        <vertAlign val="baseline"/>
        <sz val="9"/>
        <color rgb="FF000000"/>
        <name val="Arial"/>
        <family val="2"/>
        <scheme val="none"/>
      </font>
      <fill>
        <patternFill patternType="none">
          <fgColor indexed="64"/>
          <bgColor indexed="65"/>
        </patternFill>
      </fill>
      <alignment horizontal="right" vertical="bottom" textRotation="0" wrapText="0" indent="0" justifyLastLine="0" shrinkToFit="0" readingOrder="0"/>
    </dxf>
    <dxf>
      <font>
        <strike val="0"/>
        <outline val="0"/>
        <shadow val="0"/>
        <u val="none"/>
        <vertAlign val="baseline"/>
        <sz val="9"/>
        <name val="Arial"/>
        <scheme val="none"/>
      </font>
      <numFmt numFmtId="178" formatCode="#,##0.00_ ;[Red]\-#,##0.00\ "/>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9"/>
        <color rgb="FF000000"/>
        <name val="Arial"/>
        <family val="2"/>
        <scheme val="none"/>
      </font>
      <fill>
        <patternFill patternType="none">
          <fgColor indexed="64"/>
          <bgColor indexed="65"/>
        </patternFill>
      </fill>
    </dxf>
    <dxf>
      <font>
        <strike val="0"/>
        <outline val="0"/>
        <shadow val="0"/>
        <u val="none"/>
        <vertAlign val="baseline"/>
        <sz val="9"/>
        <name val="Arial"/>
        <scheme val="none"/>
      </font>
      <numFmt numFmtId="0" formatCode="General"/>
      <fill>
        <patternFill patternType="none">
          <bgColor auto="1"/>
        </patternFill>
      </fill>
      <alignment horizontal="center" vertical="bottom" textRotation="0" wrapText="0" indent="0" justifyLastLine="0" shrinkToFit="0" readingOrder="0"/>
    </dxf>
    <dxf>
      <font>
        <b val="0"/>
        <i val="0"/>
        <strike val="0"/>
        <condense val="0"/>
        <extend val="0"/>
        <outline val="0"/>
        <shadow val="0"/>
        <u val="none"/>
        <vertAlign val="baseline"/>
        <sz val="9"/>
        <color rgb="FF000000"/>
        <name val="Arial"/>
        <family val="2"/>
        <scheme val="none"/>
      </font>
      <fill>
        <patternFill patternType="none">
          <fgColor indexed="64"/>
          <bgColor indexed="65"/>
        </patternFill>
      </fill>
    </dxf>
    <dxf>
      <font>
        <strike val="0"/>
        <outline val="0"/>
        <shadow val="0"/>
        <u val="none"/>
        <vertAlign val="baseline"/>
        <sz val="9"/>
        <name val="Arial"/>
        <scheme val="none"/>
      </font>
      <numFmt numFmtId="0" formatCode="General"/>
      <fill>
        <patternFill patternType="none">
          <bgColor auto="1"/>
        </patternFill>
      </fill>
    </dxf>
    <dxf>
      <font>
        <b val="0"/>
        <i val="0"/>
        <strike val="0"/>
        <condense val="0"/>
        <extend val="0"/>
        <outline val="0"/>
        <shadow val="0"/>
        <u val="none"/>
        <vertAlign val="baseline"/>
        <sz val="9"/>
        <color rgb="FF000000"/>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9"/>
        <color rgb="FF000000"/>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9"/>
        <color rgb="FF000000"/>
        <name val="Arial"/>
        <family val="2"/>
        <scheme val="none"/>
      </font>
      <fill>
        <patternFill patternType="none">
          <fgColor indexed="64"/>
          <bgColor indexed="65"/>
        </patternFill>
      </fill>
      <alignment horizontal="left" vertical="bottom" textRotation="0" wrapText="0" indent="0" justifyLastLine="0" shrinkToFit="0" readingOrder="0"/>
    </dxf>
    <dxf>
      <font>
        <strike val="0"/>
        <outline val="0"/>
        <shadow val="0"/>
        <u val="none"/>
        <vertAlign val="baseline"/>
        <sz val="9"/>
        <name val="Arial"/>
        <scheme val="none"/>
      </font>
      <numFmt numFmtId="0" formatCode="General"/>
      <fill>
        <patternFill patternType="none">
          <bgColor auto="1"/>
        </patternFill>
      </fill>
      <alignment horizontal="left" vertical="bottom" textRotation="0" wrapText="0" justifyLastLine="0" shrinkToFit="0" readingOrder="0"/>
    </dxf>
    <dxf>
      <font>
        <b val="0"/>
        <i val="0"/>
        <strike val="0"/>
        <condense val="0"/>
        <extend val="0"/>
        <outline val="0"/>
        <shadow val="0"/>
        <u val="none"/>
        <vertAlign val="baseline"/>
        <sz val="9"/>
        <color rgb="FF000000"/>
        <name val="Arial"/>
        <family val="2"/>
        <scheme val="none"/>
      </font>
      <fill>
        <patternFill patternType="none">
          <fgColor indexed="64"/>
          <bgColor indexed="65"/>
        </patternFill>
      </fill>
      <alignment horizontal="left" vertical="bottom" textRotation="0" wrapText="0" indent="0" justifyLastLine="0" shrinkToFit="0" readingOrder="0"/>
    </dxf>
    <dxf>
      <font>
        <strike val="0"/>
        <outline val="0"/>
        <shadow val="0"/>
        <u val="none"/>
        <vertAlign val="baseline"/>
        <sz val="9"/>
        <name val="Arial"/>
        <scheme val="none"/>
      </font>
      <numFmt numFmtId="186" formatCode="[$-409]mmmm\ d\,\ yyyy;@"/>
      <fill>
        <patternFill patternType="none">
          <bgColor auto="1"/>
        </patternFill>
      </fill>
      <alignment horizontal="left" vertical="bottom" textRotation="0" wrapText="0" indent="0" justifyLastLine="0" shrinkToFit="0" readingOrder="0"/>
    </dxf>
    <dxf>
      <font>
        <strike val="0"/>
        <outline val="0"/>
        <shadow val="0"/>
        <u val="none"/>
        <vertAlign val="baseline"/>
        <sz val="9"/>
        <name val="Arial"/>
        <scheme val="none"/>
      </font>
      <numFmt numFmtId="0" formatCode="General"/>
      <fill>
        <patternFill patternType="none">
          <bgColor auto="1"/>
        </patternFill>
      </fill>
    </dxf>
    <dxf>
      <font>
        <strike val="0"/>
        <outline val="0"/>
        <shadow val="0"/>
        <u val="none"/>
        <vertAlign val="baseline"/>
        <sz val="11"/>
        <name val="Arial"/>
        <family val="2"/>
        <scheme val="none"/>
      </font>
      <numFmt numFmtId="0" formatCode="General"/>
      <fill>
        <patternFill patternType="none">
          <bgColor auto="1"/>
        </patternFill>
      </fill>
    </dxf>
    <dxf>
      <font>
        <strike val="0"/>
        <outline val="0"/>
        <shadow val="0"/>
        <u val="none"/>
        <vertAlign val="baseline"/>
        <sz val="9"/>
        <name val="Arial"/>
        <scheme val="none"/>
      </font>
      <numFmt numFmtId="174" formatCode="#,##0.00;\(#,##0.00\)"/>
      <fill>
        <patternFill patternType="none">
          <bgColor auto="1"/>
        </patternFill>
      </fill>
    </dxf>
    <dxf>
      <font>
        <b val="0"/>
        <i val="0"/>
        <strike val="0"/>
        <condense val="0"/>
        <extend val="0"/>
        <outline val="0"/>
        <shadow val="0"/>
        <u val="none"/>
        <vertAlign val="baseline"/>
        <sz val="9"/>
        <color rgb="FF000000"/>
        <name val="Arial"/>
        <family val="2"/>
        <scheme val="none"/>
      </font>
      <numFmt numFmtId="1" formatCode="0"/>
      <alignment horizontal="center" vertical="bottom" textRotation="0" wrapText="0" indent="0" justifyLastLine="0" shrinkToFit="0" readingOrder="0"/>
    </dxf>
    <dxf>
      <font>
        <strike val="0"/>
        <outline val="0"/>
        <shadow val="0"/>
        <u val="none"/>
        <vertAlign val="baseline"/>
        <sz val="9"/>
        <name val="Arial"/>
        <scheme val="none"/>
      </font>
      <numFmt numFmtId="2" formatCode="0.00"/>
      <fill>
        <patternFill patternType="none">
          <bgColor auto="1"/>
        </patternFill>
      </fill>
    </dxf>
    <dxf>
      <font>
        <strike val="0"/>
        <outline val="0"/>
        <shadow val="0"/>
        <u val="none"/>
        <vertAlign val="baseline"/>
        <sz val="9"/>
        <name val="Arial"/>
        <scheme val="none"/>
      </font>
      <numFmt numFmtId="188" formatCode="#,##0_);[Red]\(#,##0\)"/>
      <fill>
        <patternFill patternType="none">
          <bgColor auto="1"/>
        </patternFill>
      </fill>
    </dxf>
    <dxf>
      <font>
        <strike val="0"/>
        <outline val="0"/>
        <shadow val="0"/>
        <u val="none"/>
        <vertAlign val="baseline"/>
        <sz val="9"/>
        <name val="Arial"/>
        <scheme val="none"/>
      </font>
      <numFmt numFmtId="188" formatCode="#,##0_);[Red]\(#,##0\)"/>
      <fill>
        <patternFill patternType="none">
          <bgColor auto="1"/>
        </patternFill>
      </fill>
    </dxf>
    <dxf>
      <font>
        <strike val="0"/>
        <outline val="0"/>
        <shadow val="0"/>
        <u val="none"/>
        <vertAlign val="baseline"/>
        <sz val="9"/>
        <name val="Arial"/>
        <scheme val="none"/>
      </font>
      <numFmt numFmtId="0" formatCode="General"/>
      <fill>
        <patternFill patternType="none">
          <bgColor auto="1"/>
        </patternFill>
      </fill>
    </dxf>
    <dxf>
      <font>
        <strike val="0"/>
        <outline val="0"/>
        <shadow val="0"/>
        <u val="none"/>
        <vertAlign val="baseline"/>
        <sz val="9"/>
        <name val="Arial"/>
        <scheme val="none"/>
      </font>
      <numFmt numFmtId="178" formatCode="#,##0.00_ ;[Red]\-#,##0.00\ "/>
      <fill>
        <patternFill patternType="none">
          <bgColor auto="1"/>
        </patternFill>
      </fill>
      <alignment horizontal="right" vertical="bottom" textRotation="0" wrapText="0" indent="0" justifyLastLine="0" shrinkToFit="0" readingOrder="0"/>
    </dxf>
    <dxf>
      <font>
        <strike val="0"/>
        <outline val="0"/>
        <shadow val="0"/>
        <u val="none"/>
        <vertAlign val="baseline"/>
        <sz val="9"/>
        <name val="Arial"/>
        <scheme val="none"/>
      </font>
      <numFmt numFmtId="0" formatCode="General"/>
      <fill>
        <patternFill patternType="none">
          <bgColor auto="1"/>
        </patternFill>
      </fill>
    </dxf>
    <dxf>
      <font>
        <strike val="0"/>
        <outline val="0"/>
        <shadow val="0"/>
        <u val="none"/>
        <vertAlign val="baseline"/>
        <sz val="9"/>
        <name val="Arial"/>
        <scheme val="none"/>
      </font>
      <numFmt numFmtId="0" formatCode="General"/>
      <fill>
        <patternFill patternType="none">
          <bgColor auto="1"/>
        </patternFill>
      </fill>
    </dxf>
    <dxf>
      <font>
        <b val="0"/>
        <i val="0"/>
        <strike val="0"/>
        <condense val="0"/>
        <extend val="0"/>
        <outline val="0"/>
        <shadow val="0"/>
        <u val="none"/>
        <vertAlign val="baseline"/>
        <sz val="9"/>
        <color rgb="FF000000"/>
        <name val="Arial"/>
        <family val="2"/>
        <scheme val="none"/>
      </font>
      <alignment horizontal="center" vertical="bottom" textRotation="0" wrapText="0" indent="0" justifyLastLine="0" shrinkToFit="0" readingOrder="0"/>
    </dxf>
    <dxf>
      <font>
        <strike val="0"/>
        <outline val="0"/>
        <shadow val="0"/>
        <u val="none"/>
        <vertAlign val="baseline"/>
        <sz val="9"/>
        <name val="Arial"/>
        <scheme val="none"/>
      </font>
      <numFmt numFmtId="0" formatCode="General"/>
      <fill>
        <patternFill patternType="none">
          <bgColor auto="1"/>
        </patternFill>
      </fill>
      <alignment horizontal="left" vertical="bottom" textRotation="0" wrapText="0" justifyLastLine="0" shrinkToFit="0" readingOrder="0"/>
    </dxf>
    <dxf>
      <font>
        <strike val="0"/>
        <outline val="0"/>
        <shadow val="0"/>
        <u val="none"/>
        <vertAlign val="baseline"/>
        <sz val="9"/>
        <name val="Arial"/>
        <scheme val="none"/>
      </font>
      <numFmt numFmtId="186" formatCode="[$-409]mmmm\ d\,\ yyyy;@"/>
      <fill>
        <patternFill patternType="none">
          <bgColor auto="1"/>
        </patternFill>
      </fill>
      <alignment horizontal="left" vertical="bottom" textRotation="0" wrapText="0" indent="0" justifyLastLine="0" shrinkToFit="0" readingOrder="0"/>
    </dxf>
    <dxf>
      <font>
        <strike val="0"/>
        <outline val="0"/>
        <shadow val="0"/>
        <u val="none"/>
        <vertAlign val="baseline"/>
        <sz val="9"/>
        <name val="Arial"/>
        <scheme val="none"/>
      </font>
      <numFmt numFmtId="0" formatCode="General"/>
      <fill>
        <patternFill patternType="none">
          <bgColor auto="1"/>
        </patternFill>
      </fill>
    </dxf>
    <dxf>
      <font>
        <b/>
        <i val="0"/>
        <strike val="0"/>
        <outline val="0"/>
        <shadow val="0"/>
        <u val="none"/>
        <vertAlign val="baseline"/>
        <sz val="11"/>
        <name val="Arial"/>
        <family val="2"/>
        <scheme val="none"/>
      </font>
      <numFmt numFmtId="0" formatCode="General"/>
      <fill>
        <patternFill patternType="none">
          <bgColor auto="1"/>
        </patternFill>
      </fill>
    </dxf>
    <dxf>
      <font>
        <b val="0"/>
        <i val="0"/>
        <strike val="0"/>
        <condense val="0"/>
        <extend val="0"/>
        <outline val="0"/>
        <shadow val="0"/>
        <u val="none"/>
        <vertAlign val="baseline"/>
        <sz val="10"/>
        <color theme="1"/>
        <name val="Arial"/>
        <family val="2"/>
        <scheme val="none"/>
      </font>
      <numFmt numFmtId="187" formatCode="#,##0.00_);[Red]\(#,##0.00\)"/>
      <fill>
        <patternFill patternType="none">
          <fgColor indexed="64"/>
          <bgColor auto="1"/>
        </patternFill>
      </fill>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9"/>
        <color theme="1"/>
        <name val="Arial"/>
        <family val="2"/>
        <scheme val="none"/>
      </font>
      <numFmt numFmtId="1" formatCode="0"/>
      <fill>
        <patternFill patternType="none">
          <fgColor indexed="64"/>
          <bgColor indexed="65"/>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8"/>
        <color theme="1"/>
        <name val="Arial"/>
        <family val="2"/>
        <scheme val="none"/>
      </font>
      <fill>
        <patternFill patternType="none">
          <fgColor indexed="64"/>
          <bgColor auto="1"/>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8"/>
        <color theme="1"/>
        <name val="Arial"/>
        <family val="2"/>
        <scheme val="none"/>
      </font>
      <fill>
        <patternFill patternType="none">
          <fgColor indexed="64"/>
          <bgColor auto="1"/>
        </patternFill>
      </fill>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0"/>
        <color auto="1"/>
        <name val="Arial"/>
        <family val="2"/>
        <scheme val="none"/>
      </font>
      <numFmt numFmtId="187" formatCode="#,##0.00_);[Red]\(#,##0.00\)"/>
      <fill>
        <patternFill patternType="none">
          <fgColor indexed="64"/>
          <bgColor auto="1"/>
        </patternFill>
      </fill>
      <alignment horizontal="right"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0"/>
        <color theme="1"/>
        <name val="Arial"/>
        <family val="2"/>
        <scheme val="none"/>
      </font>
      <numFmt numFmtId="4" formatCode="#,##0.00"/>
      <fill>
        <patternFill patternType="none">
          <fgColor indexed="64"/>
          <bgColor auto="1"/>
        </patternFill>
      </fill>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0"/>
        <color auto="1"/>
        <name val="Arial"/>
        <family val="2"/>
        <scheme val="none"/>
      </font>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auto="1"/>
        </patternFill>
      </fill>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0"/>
        <color theme="1"/>
        <name val="Arial"/>
        <family val="2"/>
        <scheme val="none"/>
      </font>
      <numFmt numFmtId="170" formatCode="mmmm&quot; &quot;d&quot;, &quot;yyyy"/>
      <fill>
        <patternFill patternType="none">
          <fgColor indexed="64"/>
          <bgColor auto="1"/>
        </patternFill>
      </fill>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right"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border outline="0">
        <left style="thin">
          <color theme="4" tint="0.39997558519241921"/>
        </left>
        <right style="thin">
          <color theme="4" tint="0.39997558519241921"/>
        </right>
        <top style="thin">
          <color theme="4" tint="0.39997558519241921"/>
        </top>
        <bottom style="thin">
          <color theme="4" tint="0.39997558519241921"/>
        </bottom>
      </border>
    </dxf>
    <dxf>
      <fill>
        <patternFill patternType="none">
          <fgColor indexed="64"/>
          <bgColor auto="1"/>
        </patternFill>
      </fill>
      <protection locked="0" hidden="0"/>
    </dxf>
    <dxf>
      <font>
        <strike val="0"/>
        <outline val="0"/>
        <shadow val="0"/>
        <u val="none"/>
        <vertAlign val="baseline"/>
        <sz val="11"/>
        <color theme="0"/>
        <name val="Arial"/>
        <family val="2"/>
        <scheme val="none"/>
      </font>
      <protection locked="0" hidden="0"/>
    </dxf>
    <dxf>
      <font>
        <b val="0"/>
        <i val="0"/>
        <strike val="0"/>
        <condense val="0"/>
        <extend val="0"/>
        <outline val="0"/>
        <shadow val="0"/>
        <u val="none"/>
        <vertAlign val="baseline"/>
        <sz val="10"/>
        <color rgb="FF000000"/>
        <name val="Arial"/>
        <scheme val="none"/>
      </font>
      <numFmt numFmtId="35" formatCode="_-* #,##0.00_-;\-* #,##0.00_-;_-* &quot;-&quot;??_-;_-@_-"/>
      <alignment horizontal="left" vertical="bottom" textRotation="0" wrapText="0" indent="0" justifyLastLine="0" shrinkToFit="0" readingOrder="0"/>
    </dxf>
    <dxf>
      <numFmt numFmtId="0" formatCode="General"/>
    </dxf>
    <dxf>
      <numFmt numFmtId="177" formatCode="[$-F800]dddd\,\ mmmm\ dd\,\ yyyy"/>
    </dxf>
    <dxf>
      <numFmt numFmtId="0" formatCode="General"/>
    </dxf>
    <dxf>
      <numFmt numFmtId="0" formatCode="General"/>
    </dxf>
    <dxf>
      <font>
        <strike val="0"/>
        <outline val="0"/>
        <shadow val="0"/>
        <vertAlign val="baseline"/>
        <sz val="10"/>
        <name val="Arial"/>
        <scheme val="none"/>
      </font>
    </dxf>
    <dxf>
      <font>
        <strike val="0"/>
        <outline val="0"/>
        <shadow val="0"/>
        <vertAlign val="baseline"/>
        <sz val="10"/>
        <name val="Arial"/>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color theme="0"/>
        <name val="Arial"/>
        <family val="2"/>
        <scheme val="none"/>
      </font>
      <fill>
        <patternFill patternType="solid">
          <fgColor indexed="64"/>
          <bgColor theme="0"/>
        </patternFill>
      </fill>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fill>
        <patternFill patternType="none">
          <fgColor indexed="64"/>
          <bgColor indexed="65"/>
        </patternFill>
      </fill>
      <alignment horizontal="general" vertical="center" textRotation="0" wrapText="0" indent="0" justifyLastLine="0" shrinkToFit="0" readingOrder="0"/>
    </dxf>
    <dxf>
      <font>
        <strike val="0"/>
        <outline val="0"/>
        <shadow val="0"/>
        <u val="none"/>
        <vertAlign val="baseline"/>
        <sz val="10"/>
        <color theme="0"/>
        <name val="Arial"/>
        <family val="2"/>
        <scheme val="none"/>
      </font>
      <fill>
        <patternFill patternType="solid">
          <fgColor indexed="64"/>
          <bgColor theme="0"/>
        </patternFill>
      </fill>
    </dxf>
    <dxf>
      <font>
        <strike val="0"/>
        <outline val="0"/>
        <shadow val="0"/>
        <u val="none"/>
        <vertAlign val="baseline"/>
        <sz val="10"/>
        <name val="Arial"/>
        <family val="2"/>
        <scheme val="none"/>
      </font>
      <fill>
        <patternFill patternType="none">
          <fgColor indexed="64"/>
          <bgColor indexed="65"/>
        </patternFill>
      </fill>
      <alignment horizontal="general" vertical="center" textRotation="0" wrapText="0" indent="0" justifyLastLine="0" shrinkToFit="0" readingOrder="0"/>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color theme="0"/>
        <name val="Arial"/>
        <family val="2"/>
        <scheme val="none"/>
      </font>
      <fill>
        <patternFill patternType="solid">
          <fgColor indexed="64"/>
          <bgColor theme="0"/>
        </patternFill>
      </fill>
    </dxf>
    <dxf>
      <font>
        <strike val="0"/>
        <outline val="0"/>
        <shadow val="0"/>
        <u val="none"/>
        <vertAlign val="baseline"/>
        <sz val="10"/>
        <name val="Arial"/>
        <family val="2"/>
        <scheme val="none"/>
      </font>
    </dxf>
    <dxf>
      <font>
        <b/>
        <strike val="0"/>
        <outline val="0"/>
        <shadow val="0"/>
        <u val="none"/>
        <vertAlign val="baseline"/>
        <sz val="10"/>
        <color auto="1"/>
        <name val="Arial"/>
        <family val="2"/>
        <scheme val="none"/>
      </font>
      <fill>
        <patternFill patternType="solid">
          <fgColor indexed="64"/>
          <bgColor theme="0"/>
        </patternFill>
      </fill>
      <alignment horizontal="center" vertical="center" textRotation="0" wrapText="1" indent="0" justifyLastLine="0" shrinkToFit="0" readingOrder="0"/>
    </dxf>
    <dxf>
      <font>
        <strike val="0"/>
        <outline val="0"/>
        <shadow val="0"/>
        <u val="none"/>
        <vertAlign val="baseline"/>
        <sz val="10"/>
        <name val="Arial"/>
        <family val="2"/>
        <scheme val="none"/>
      </font>
      <fill>
        <patternFill patternType="none">
          <fgColor indexed="64"/>
          <bgColor auto="1"/>
        </patternFill>
      </fill>
    </dxf>
    <dxf>
      <font>
        <strike val="0"/>
        <outline val="0"/>
        <shadow val="0"/>
        <u val="none"/>
        <vertAlign val="baseline"/>
        <sz val="10"/>
        <name val="Arial"/>
        <family val="2"/>
        <scheme val="none"/>
      </font>
      <fill>
        <patternFill patternType="none">
          <fgColor indexed="64"/>
          <bgColor auto="1"/>
        </patternFill>
      </fill>
    </dxf>
    <dxf>
      <font>
        <strike val="0"/>
        <outline val="0"/>
        <shadow val="0"/>
        <u val="none"/>
        <vertAlign val="baseline"/>
        <sz val="10"/>
        <name val="Arial"/>
        <family val="2"/>
        <scheme val="none"/>
      </font>
      <fill>
        <patternFill patternType="none">
          <fgColor indexed="64"/>
          <bgColor auto="1"/>
        </patternFill>
      </fill>
    </dxf>
    <dxf>
      <font>
        <strike val="0"/>
        <outline val="0"/>
        <shadow val="0"/>
        <u val="none"/>
        <vertAlign val="baseline"/>
        <sz val="10"/>
        <name val="Arial"/>
        <family val="2"/>
        <scheme val="none"/>
      </font>
    </dxf>
    <dxf>
      <font>
        <b/>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0"/>
        <color rgb="FF000000"/>
        <name val="Arial"/>
        <scheme val="none"/>
      </font>
      <numFmt numFmtId="35" formatCode="_-* #,##0.00_-;\-* #,##0.00_-;_-* &quot;-&quot;??_-;_-@_-"/>
      <alignment horizontal="left" vertical="bottom" textRotation="0" wrapText="0" indent="0" justifyLastLine="0" shrinkToFit="0" readingOrder="0"/>
    </dxf>
    <dxf>
      <font>
        <b val="0"/>
        <i val="0"/>
        <strike val="0"/>
        <condense val="0"/>
        <extend val="0"/>
        <outline val="0"/>
        <shadow val="0"/>
        <u val="none"/>
        <vertAlign val="baseline"/>
        <sz val="10"/>
        <color rgb="FF000000"/>
        <name val="Arial"/>
        <scheme val="none"/>
      </font>
      <numFmt numFmtId="177" formatCode="[$-F800]dddd\,\ mmmm\ dd\,\ yyyy"/>
      <alignment horizontal="left" vertical="bottom" textRotation="0" wrapText="0" indent="0" justifyLastLine="0" shrinkToFit="0" readingOrder="0"/>
    </dxf>
    <dxf>
      <numFmt numFmtId="0" formatCode="General"/>
    </dxf>
    <dxf>
      <numFmt numFmtId="177" formatCode="[$-F800]dddd\,\ mmmm\ dd\,\ yyyy"/>
    </dxf>
    <dxf>
      <numFmt numFmtId="0" formatCode="General"/>
    </dxf>
    <dxf>
      <numFmt numFmtId="0" formatCode="General"/>
    </dxf>
    <dxf>
      <font>
        <strike val="0"/>
        <outline val="0"/>
        <shadow val="0"/>
        <vertAlign val="baseline"/>
        <sz val="10"/>
        <name val="Arial"/>
        <scheme val="none"/>
      </font>
    </dxf>
    <dxf>
      <font>
        <strike val="0"/>
        <outline val="0"/>
        <shadow val="0"/>
        <vertAlign val="baseline"/>
        <sz val="10"/>
        <name val="Arial"/>
        <scheme val="none"/>
      </font>
    </dxf>
    <dxf>
      <numFmt numFmtId="6" formatCode="#,##0;[Red]\-#,##0"/>
      <fill>
        <patternFill patternType="none">
          <fgColor indexed="64"/>
          <bgColor indexed="65"/>
        </patternFill>
      </fill>
    </dxf>
    <dxf>
      <fill>
        <patternFill patternType="none">
          <fgColor indexed="64"/>
          <bgColor indexed="65"/>
        </patternFill>
      </fill>
    </dxf>
    <dxf>
      <font>
        <b/>
        <i val="0"/>
        <strike val="0"/>
        <condense val="0"/>
        <extend val="0"/>
        <outline val="0"/>
        <shadow val="0"/>
        <u val="none"/>
        <vertAlign val="baseline"/>
        <sz val="9"/>
        <color theme="0"/>
        <name val="Arial Black"/>
        <family val="2"/>
        <scheme val="none"/>
      </font>
      <fill>
        <patternFill patternType="solid">
          <fgColor theme="4"/>
          <bgColor theme="4"/>
        </patternFill>
      </fill>
      <alignment horizontal="center" vertical="bottom" textRotation="0" wrapText="0" indent="0" justifyLastLine="0" shrinkToFit="0" readingOrder="0"/>
    </dxf>
    <dxf>
      <numFmt numFmtId="8" formatCode="#,##0.00;[Red]\-#,##0.00"/>
    </dxf>
    <dxf>
      <numFmt numFmtId="8" formatCode="#,##0.00;[Red]\-#,##0.00"/>
    </dxf>
    <dxf>
      <numFmt numFmtId="8" formatCode="#,##0.00;[Red]\-#,##0.00"/>
    </dxf>
    <dxf>
      <border outline="0">
        <bottom style="thick">
          <color rgb="FF000000"/>
        </bottom>
      </border>
    </dxf>
    <dxf>
      <numFmt numFmtId="8" formatCode="#,##0.00;[Red]\-#,##0.00"/>
    </dxf>
    <dxf>
      <font>
        <b val="0"/>
        <i val="0"/>
        <strike val="0"/>
        <condense val="0"/>
        <extend val="0"/>
        <outline val="0"/>
        <shadow val="0"/>
        <u val="none"/>
        <vertAlign val="baseline"/>
        <sz val="10"/>
        <color auto="1"/>
        <name val="Arial"/>
        <family val="2"/>
        <scheme val="none"/>
      </font>
      <numFmt numFmtId="186" formatCode="[$-409]mmmm\ d\,\ yyyy;@"/>
    </dxf>
    <dxf>
      <numFmt numFmtId="0" formatCode="General"/>
    </dxf>
    <dxf>
      <numFmt numFmtId="1" formatCode="0"/>
    </dxf>
    <dxf>
      <font>
        <b val="0"/>
        <i val="0"/>
        <strike val="0"/>
        <condense val="0"/>
        <extend val="0"/>
        <outline val="0"/>
        <shadow val="0"/>
        <u val="none"/>
        <vertAlign val="baseline"/>
        <sz val="10"/>
        <color rgb="FF000000"/>
        <name val="Arial"/>
        <family val="2"/>
        <scheme val="none"/>
      </font>
      <numFmt numFmtId="8" formatCode="#,##0.00;[Red]\-#,##0.00"/>
      <alignment horizontal="general" vertical="center" textRotation="0" wrapText="0" indent="0" justifyLastLine="0" shrinkToFit="0" readingOrder="0"/>
      <border diagonalUp="0" diagonalDown="0">
        <left style="medium">
          <color rgb="FFCCCCCC"/>
        </left>
        <right/>
        <top style="medium">
          <color rgb="FFCCCCCC"/>
        </top>
        <bottom style="medium">
          <color rgb="FFCCCCCC"/>
        </bottom>
        <vertical/>
        <horizontal/>
      </border>
    </dxf>
    <dxf>
      <font>
        <b val="0"/>
        <i val="0"/>
        <strike val="0"/>
        <condense val="0"/>
        <extend val="0"/>
        <outline val="0"/>
        <shadow val="0"/>
        <u val="none"/>
        <vertAlign val="baseline"/>
        <sz val="10"/>
        <color rgb="FF000000"/>
        <name val="Arial"/>
        <family val="2"/>
        <scheme val="none"/>
      </font>
      <numFmt numFmtId="186" formatCode="[$-409]mmmm\ d\,\ yyyy;@"/>
      <alignment horizontal="general" vertical="center" textRotation="0" wrapText="0" indent="0" justifyLastLine="0" shrinkToFit="0" readingOrder="0"/>
      <border diagonalUp="0" diagonalDown="0">
        <left style="medium">
          <color rgb="FFCCCCCC"/>
        </left>
        <right/>
        <top style="medium">
          <color rgb="FFCCCCCC"/>
        </top>
        <bottom style="medium">
          <color rgb="FFCCCCCC"/>
        </bottom>
        <vertical/>
        <horizontal/>
      </border>
    </dxf>
    <dxf>
      <font>
        <b val="0"/>
        <i val="0"/>
        <strike val="0"/>
        <condense val="0"/>
        <extend val="0"/>
        <outline val="0"/>
        <shadow val="0"/>
        <u val="none"/>
        <vertAlign val="baseline"/>
        <sz val="10"/>
        <color rgb="FF000000"/>
        <name val="Arial"/>
        <family val="2"/>
        <scheme val="none"/>
      </font>
      <numFmt numFmtId="8" formatCode="#,##0.00;[Red]\-#,##0.00"/>
      <alignment horizontal="general" vertical="center" textRotation="0" wrapText="0" indent="0" justifyLastLine="0" shrinkToFit="0" readingOrder="0"/>
      <border diagonalUp="0" diagonalDown="0">
        <left style="medium">
          <color rgb="FFCCCCCC"/>
        </left>
        <right/>
        <top style="medium">
          <color rgb="FFCCCCCC"/>
        </top>
        <bottom style="medium">
          <color rgb="FFCCCCCC"/>
        </bottom>
        <vertical/>
        <horizontal/>
      </border>
    </dxf>
    <dxf>
      <font>
        <b val="0"/>
        <i val="0"/>
        <strike val="0"/>
        <condense val="0"/>
        <extend val="0"/>
        <outline val="0"/>
        <shadow val="0"/>
        <u val="none"/>
        <vertAlign val="baseline"/>
        <sz val="10"/>
        <color rgb="FF000000"/>
        <name val="Arial"/>
        <family val="2"/>
        <scheme val="none"/>
      </font>
      <numFmt numFmtId="1" formatCode="0"/>
      <alignment horizontal="general" vertical="center" textRotation="0" wrapText="0" indent="0" justifyLastLine="0" shrinkToFit="0" readingOrder="0"/>
      <border diagonalUp="0" diagonalDown="0">
        <left style="medium">
          <color rgb="FFCCCCCC"/>
        </left>
        <right/>
        <top style="medium">
          <color rgb="FFCCCCCC"/>
        </top>
        <bottom style="medium">
          <color rgb="FFCCCCCC"/>
        </bottom>
        <vertical/>
        <horizontal/>
      </border>
    </dxf>
    <dxf>
      <font>
        <b val="0"/>
        <i val="0"/>
        <strike val="0"/>
        <condense val="0"/>
        <extend val="0"/>
        <outline val="0"/>
        <shadow val="0"/>
        <u val="none"/>
        <vertAlign val="baseline"/>
        <sz val="10"/>
        <color rgb="FF000000"/>
        <name val="Arial"/>
        <family val="2"/>
        <scheme val="none"/>
      </font>
      <numFmt numFmtId="179" formatCode="0_ ;[Red]\-0\ "/>
      <alignment horizontal="general" vertical="center" textRotation="0" wrapText="0" indent="0" justifyLastLine="0" shrinkToFit="0" readingOrder="0"/>
      <border diagonalUp="0" diagonalDown="0">
        <left style="medium">
          <color rgb="FFCCCCCC"/>
        </left>
        <right/>
        <top style="medium">
          <color rgb="FFCCCCCC"/>
        </top>
        <bottom style="medium">
          <color rgb="FFCCCCCC"/>
        </bottom>
        <vertical/>
        <horizontal/>
      </border>
    </dxf>
    <dxf>
      <font>
        <b val="0"/>
        <i val="0"/>
        <strike val="0"/>
        <condense val="0"/>
        <extend val="0"/>
        <outline val="0"/>
        <shadow val="0"/>
        <u val="none"/>
        <vertAlign val="baseline"/>
        <sz val="10"/>
        <color rgb="FF000000"/>
        <name val="Arial"/>
        <family val="2"/>
        <scheme val="none"/>
      </font>
      <alignment horizontal="general" vertical="center" textRotation="0" wrapText="0" indent="0" justifyLastLine="0" shrinkToFit="0" readingOrder="0"/>
    </dxf>
    <dxf>
      <font>
        <strike val="0"/>
        <outline val="0"/>
        <shadow val="0"/>
        <u val="none"/>
        <vertAlign val="baseline"/>
        <sz val="10"/>
        <color theme="0"/>
        <name val="Arial"/>
        <family val="2"/>
        <scheme val="none"/>
      </font>
    </dxf>
    <dxf>
      <font>
        <b val="0"/>
        <i val="0"/>
        <strike val="0"/>
        <condense val="0"/>
        <extend val="0"/>
        <outline val="0"/>
        <shadow val="0"/>
        <u val="none"/>
        <vertAlign val="baseline"/>
        <sz val="10"/>
        <color auto="1"/>
        <name val="Arial"/>
        <family val="2"/>
        <scheme val="none"/>
      </font>
      <numFmt numFmtId="8" formatCode="#,##0.00;[Red]\-#,##0.00"/>
      <border diagonalUp="0" diagonalDown="0">
        <left/>
        <right/>
        <top/>
        <bottom style="double">
          <color rgb="FF000000"/>
        </bottom>
        <vertical/>
        <horizontal/>
      </border>
    </dxf>
    <dxf>
      <numFmt numFmtId="186" formatCode="[$-409]mmmm\ d\,\ yyyy;@"/>
    </dxf>
    <dxf>
      <font>
        <strike val="0"/>
        <outline val="0"/>
        <shadow val="0"/>
        <u val="none"/>
        <vertAlign val="baseline"/>
        <sz val="10"/>
        <color theme="0"/>
        <name val="Arial"/>
        <family val="2"/>
        <scheme val="none"/>
      </font>
    </dxf>
    <dxf>
      <numFmt numFmtId="8" formatCode="#,##0.00;[Red]\-#,##0.00"/>
    </dxf>
    <dxf>
      <numFmt numFmtId="8" formatCode="#,##0.00;[Red]\-#,##0.00"/>
    </dxf>
    <dxf>
      <fill>
        <patternFill patternType="solid">
          <bgColor rgb="FFFFFF00"/>
        </patternFill>
      </fill>
    </dxf>
    <dxf>
      <numFmt numFmtId="8" formatCode="#,##0.00;[Red]\-#,##0.00"/>
    </dxf>
    <dxf>
      <numFmt numFmtId="8" formatCode="#,##0.00;[Red]\-#,##0.00"/>
    </dxf>
    <dxf>
      <numFmt numFmtId="0" formatCode="General"/>
    </dxf>
    <dxf>
      <numFmt numFmtId="0" formatCode="General"/>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6" formatCode="#,##0;[Red]\-#,##0"/>
    </dxf>
    <dxf>
      <font>
        <b val="0"/>
        <i val="0"/>
        <strike val="0"/>
        <condense val="0"/>
        <extend val="0"/>
        <outline val="0"/>
        <shadow val="0"/>
        <u val="none"/>
        <vertAlign val="baseline"/>
        <sz val="10"/>
        <color rgb="FF000000"/>
        <name val="Arial"/>
        <family val="2"/>
        <scheme val="none"/>
      </font>
      <numFmt numFmtId="6" formatCode="#,##0;[Red]\-#,##0"/>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9"/>
        <color rgb="FF000000"/>
        <name val="Arial"/>
        <family val="2"/>
        <scheme val="none"/>
      </font>
      <numFmt numFmtId="6" formatCode="#,##0;[Red]\-#,##0"/>
    </dxf>
    <dxf>
      <font>
        <b val="0"/>
        <i val="0"/>
        <strike val="0"/>
        <condense val="0"/>
        <extend val="0"/>
        <outline val="0"/>
        <shadow val="0"/>
        <u val="none"/>
        <vertAlign val="baseline"/>
        <sz val="10"/>
        <color rgb="FF000000"/>
        <name val="Arial"/>
        <family val="2"/>
        <scheme val="none"/>
      </font>
      <numFmt numFmtId="6" formatCode="#,##0;[Red]\-#,##0"/>
    </dxf>
    <dxf>
      <font>
        <b val="0"/>
        <i val="0"/>
        <strike val="0"/>
        <condense val="0"/>
        <extend val="0"/>
        <outline val="0"/>
        <shadow val="0"/>
        <u val="none"/>
        <vertAlign val="baseline"/>
        <sz val="10"/>
        <color rgb="FF000000"/>
        <name val="Arial"/>
        <family val="2"/>
        <scheme val="none"/>
      </font>
      <numFmt numFmtId="6" formatCode="#,##0;[Red]\-#,##0"/>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8" formatCode="#,##0.00;[Red]\-#,##0.00"/>
      <alignment horizontal="left" vertical="bottom" textRotation="0" wrapText="0" indent="0" justifyLastLine="0" shrinkToFit="0" readingOrder="0"/>
    </dxf>
    <dxf>
      <font>
        <b val="0"/>
        <i val="0"/>
        <strike val="0"/>
        <condense val="0"/>
        <extend val="0"/>
        <outline val="0"/>
        <shadow val="0"/>
        <u val="none"/>
        <vertAlign val="baseline"/>
        <sz val="10"/>
        <color rgb="FF000000"/>
        <name val="Arial"/>
        <family val="2"/>
        <scheme val="none"/>
      </font>
      <numFmt numFmtId="6" formatCode="#,##0;[Red]\-#,##0"/>
    </dxf>
    <dxf>
      <font>
        <b val="0"/>
        <i val="0"/>
        <strike val="0"/>
        <condense val="0"/>
        <extend val="0"/>
        <outline val="0"/>
        <shadow val="0"/>
        <u val="none"/>
        <vertAlign val="baseline"/>
        <sz val="10"/>
        <color rgb="FF000000"/>
        <name val="Arial"/>
        <family val="2"/>
        <scheme val="none"/>
      </font>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6" formatCode="#,##0;[Red]\-#,##0"/>
    </dxf>
    <dxf>
      <font>
        <b val="0"/>
        <i val="0"/>
        <strike val="0"/>
        <condense val="0"/>
        <extend val="0"/>
        <outline val="0"/>
        <shadow val="0"/>
        <u val="none"/>
        <vertAlign val="baseline"/>
        <sz val="10"/>
        <color rgb="FF000000"/>
        <name val="Arial"/>
        <family val="2"/>
        <scheme val="none"/>
      </font>
      <numFmt numFmtId="6" formatCode="#,##0;[Red]\-#,##0"/>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9"/>
        <color rgb="FF000000"/>
        <name val="Arial"/>
        <family val="2"/>
        <scheme val="none"/>
      </font>
      <numFmt numFmtId="6" formatCode="#,##0;[Red]\-#,##0"/>
    </dxf>
    <dxf>
      <font>
        <b val="0"/>
        <i val="0"/>
        <strike val="0"/>
        <condense val="0"/>
        <extend val="0"/>
        <outline val="0"/>
        <shadow val="0"/>
        <u val="none"/>
        <vertAlign val="baseline"/>
        <sz val="10"/>
        <color rgb="FF000000"/>
        <name val="Arial"/>
        <family val="2"/>
        <scheme val="none"/>
      </font>
      <numFmt numFmtId="8" formatCode="#,##0.00;[Red]\-#,##0.00"/>
    </dxf>
    <dxf>
      <font>
        <b val="0"/>
        <i val="0"/>
        <strike val="0"/>
        <condense val="0"/>
        <extend val="0"/>
        <outline val="0"/>
        <shadow val="0"/>
        <u val="none"/>
        <vertAlign val="baseline"/>
        <sz val="10"/>
        <color rgb="FF000000"/>
        <name val="Arial"/>
        <family val="2"/>
        <scheme val="none"/>
      </font>
      <numFmt numFmtId="8" formatCode="#,##0.00;[Red]\-#,##0.00"/>
      <alignment horizontal="left" vertical="bottom" textRotation="0" wrapText="0" indent="0" justifyLastLine="0" shrinkToFit="0" readingOrder="0"/>
    </dxf>
    <dxf>
      <font>
        <b val="0"/>
        <i val="0"/>
        <strike val="0"/>
        <condense val="0"/>
        <extend val="0"/>
        <outline val="0"/>
        <shadow val="0"/>
        <u val="none"/>
        <vertAlign val="baseline"/>
        <sz val="10"/>
        <color rgb="FF000000"/>
        <name val="Arial"/>
        <family val="2"/>
        <scheme val="none"/>
      </font>
      <numFmt numFmtId="6" formatCode="#,##0;[Red]\-#,##0"/>
    </dxf>
    <dxf>
      <font>
        <b val="0"/>
        <i val="0"/>
        <strike val="0"/>
        <condense val="0"/>
        <extend val="0"/>
        <outline val="0"/>
        <shadow val="0"/>
        <u val="none"/>
        <vertAlign val="baseline"/>
        <sz val="10"/>
        <color rgb="FF000000"/>
        <name val="Arial"/>
        <family val="2"/>
        <scheme val="none"/>
      </font>
    </dxf>
    <dxf>
      <font>
        <b val="0"/>
        <i val="0"/>
        <strike val="0"/>
        <condense val="0"/>
        <extend val="0"/>
        <outline val="0"/>
        <shadow val="0"/>
        <u val="none"/>
        <vertAlign val="baseline"/>
        <sz val="10"/>
        <color rgb="FF000000"/>
        <name val="Arial"/>
        <family val="2"/>
        <scheme val="none"/>
      </font>
      <numFmt numFmtId="8" formatCode="#,##0.00;[Red]\-#,##0.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theme" Target="theme/theme1.xml"/><Relationship Id="rId55" Type="http://schemas.microsoft.com/office/2017/06/relationships/rdRichValue" Target="richData/rdrichvalue.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haredStrings" Target="sharedStrings.xml"/><Relationship Id="rId58" Type="http://schemas.microsoft.com/office/2017/06/relationships/rdSupportingPropertyBagStructure" Target="richData/rdsupportingpropertybagstructure.xml"/><Relationship Id="rId5" Type="http://schemas.openxmlformats.org/officeDocument/2006/relationships/worksheet" Target="worksheets/sheet5.xml"/><Relationship Id="rId61" Type="http://schemas.microsoft.com/office/2017/10/relationships/person" Target="persons/person.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microsoft.com/office/2017/06/relationships/rdRichValueStructure" Target="richData/rdrichvaluestructure.xml"/><Relationship Id="rId8" Type="http://schemas.openxmlformats.org/officeDocument/2006/relationships/worksheet" Target="worksheets/sheet8.xml"/><Relationship Id="rId51" Type="http://schemas.openxmlformats.org/officeDocument/2006/relationships/connections" Target="connection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microsoft.com/office/2017/06/relationships/rdSupportingPropertyBag" Target="richData/rdsupportingpropertybag.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eetMetadata" Target="metadata.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pivotCacheDefinition" Target="pivotCache/pivotCacheDefinition1.xml"/><Relationship Id="rId57" Type="http://schemas.microsoft.com/office/2017/06/relationships/richStyles" Target="richData/rich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tyles" Target="styles.xml"/><Relationship Id="rId60" Type="http://schemas.microsoft.com/office/2017/06/relationships/rdRichValueTypes" Target="richData/rdRichValueTypes.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361950</xdr:colOff>
      <xdr:row>1</xdr:row>
      <xdr:rowOff>47625</xdr:rowOff>
    </xdr:from>
    <xdr:to>
      <xdr:col>13</xdr:col>
      <xdr:colOff>142875</xdr:colOff>
      <xdr:row>26</xdr:row>
      <xdr:rowOff>158851</xdr:rowOff>
    </xdr:to>
    <xdr:pic>
      <xdr:nvPicPr>
        <xdr:cNvPr id="4" name="Picture 3">
          <a:extLst>
            <a:ext uri="{FF2B5EF4-FFF2-40B4-BE49-F238E27FC236}">
              <a16:creationId xmlns:a16="http://schemas.microsoft.com/office/drawing/2014/main" id="{21CF93BF-FD57-BEAF-F6E1-9D8EB79051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1950" y="209550"/>
          <a:ext cx="7772400" cy="41593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0</xdr:colOff>
      <xdr:row>114</xdr:row>
      <xdr:rowOff>0</xdr:rowOff>
    </xdr:from>
    <xdr:to>
      <xdr:col>13</xdr:col>
      <xdr:colOff>85725</xdr:colOff>
      <xdr:row>164</xdr:row>
      <xdr:rowOff>51054</xdr:rowOff>
    </xdr:to>
    <xdr:pic>
      <xdr:nvPicPr>
        <xdr:cNvPr id="5" name="Picture 4">
          <a:extLst>
            <a:ext uri="{FF2B5EF4-FFF2-40B4-BE49-F238E27FC236}">
              <a16:creationId xmlns:a16="http://schemas.microsoft.com/office/drawing/2014/main" id="{AE6A62B9-81F9-8A06-47BE-91E74F38B5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915025" y="26593800"/>
          <a:ext cx="7772400" cy="1005230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3</xdr:col>
      <xdr:colOff>0</xdr:colOff>
      <xdr:row>5</xdr:row>
      <xdr:rowOff>0</xdr:rowOff>
    </xdr:from>
    <xdr:ext cx="1143000" cy="714375"/>
    <xdr:pic>
      <xdr:nvPicPr>
        <xdr:cNvPr id="2" name="image1.png" title="Image">
          <a:extLst>
            <a:ext uri="{FF2B5EF4-FFF2-40B4-BE49-F238E27FC236}">
              <a16:creationId xmlns:a16="http://schemas.microsoft.com/office/drawing/2014/main" id="{00000000-0008-0000-1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twoCellAnchor editAs="oneCell">
    <xdr:from>
      <xdr:col>3</xdr:col>
      <xdr:colOff>0</xdr:colOff>
      <xdr:row>5</xdr:row>
      <xdr:rowOff>0</xdr:rowOff>
    </xdr:from>
    <xdr:to>
      <xdr:col>4</xdr:col>
      <xdr:colOff>304800</xdr:colOff>
      <xdr:row>6</xdr:row>
      <xdr:rowOff>171450</xdr:rowOff>
    </xdr:to>
    <xdr:pic>
      <xdr:nvPicPr>
        <xdr:cNvPr id="3073" name="image1.png">
          <a:extLst>
            <a:ext uri="{FF2B5EF4-FFF2-40B4-BE49-F238E27FC236}">
              <a16:creationId xmlns:a16="http://schemas.microsoft.com/office/drawing/2014/main" id="{7920533E-13D0-03F1-FCD6-0D5003CBBC0F}"/>
            </a:ext>
          </a:extLst>
        </xdr:cNvPr>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276475" y="857250"/>
          <a:ext cx="1143000" cy="714375"/>
        </a:xfrm>
        <a:prstGeom prst="rect">
          <a:avLst/>
        </a:prstGeom>
        <a:noFill/>
        <a:extLst>
          <a:ext uri="{909E8E84-426E-40DD-AFC4-6F175D3DCCD1}">
            <a14:hiddenFill xmlns:a14="http://schemas.microsoft.com/office/drawing/2010/main">
              <a:solidFill>
                <a:srgbClr val="FFFFFF"/>
              </a:solidFill>
            </a14:hiddenFill>
          </a:ext>
        </a:extLst>
      </xdr:spPr>
    </xdr:pic>
    <xdr:clientData fLocksWithSheet="0"/>
  </xdr:twoCellAnchor>
  <xdr:twoCellAnchor editAs="oneCell">
    <xdr:from>
      <xdr:col>3</xdr:col>
      <xdr:colOff>0</xdr:colOff>
      <xdr:row>5</xdr:row>
      <xdr:rowOff>0</xdr:rowOff>
    </xdr:from>
    <xdr:to>
      <xdr:col>4</xdr:col>
      <xdr:colOff>304800</xdr:colOff>
      <xdr:row>6</xdr:row>
      <xdr:rowOff>171450</xdr:rowOff>
    </xdr:to>
    <xdr:pic>
      <xdr:nvPicPr>
        <xdr:cNvPr id="3075" name="Picture 3">
          <a:extLst>
            <a:ext uri="{FF2B5EF4-FFF2-40B4-BE49-F238E27FC236}">
              <a16:creationId xmlns:a16="http://schemas.microsoft.com/office/drawing/2014/main" id="{89FC7B40-A8D0-B857-E487-3585EF3E47D9}"/>
            </a:ext>
          </a:extLst>
        </xdr:cNvPr>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276475" y="857250"/>
          <a:ext cx="1143000" cy="714375"/>
        </a:xfrm>
        <a:prstGeom prst="rect">
          <a:avLst/>
        </a:prstGeom>
        <a:noFill/>
        <a:extLst>
          <a:ext uri="{909E8E84-426E-40DD-AFC4-6F175D3DCCD1}">
            <a14:hiddenFill xmlns:a14="http://schemas.microsoft.com/office/drawing/2010/main">
              <a:solidFill>
                <a:srgbClr val="FFFFFF"/>
              </a:solidFill>
            </a14:hiddenFill>
          </a:ext>
        </a:extLst>
      </xdr:spPr>
    </xdr:pic>
    <xdr:clientData fLocksWithSheet="0"/>
  </xdr:twoCellAnchor>
</xdr:wsDr>
</file>

<file path=xl/persons/person.xml><?xml version="1.0" encoding="utf-8"?>
<personList xmlns="http://schemas.microsoft.com/office/spreadsheetml/2018/threadedcomments" xmlns:x="http://schemas.openxmlformats.org/spreadsheetml/2006/main"/>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5930.221139814814" backgroundQuery="1" createdVersion="8" refreshedVersion="8" minRefreshableVersion="3" recordCount="217" xr:uid="{3432890E-F667-420E-B0E6-9DBFC3B6CE60}">
  <cacheSource type="external" connectionId="1"/>
  <cacheFields count="6">
    <cacheField name="DATE" numFmtId="0">
      <sharedItems containsNonDate="0" containsDate="1" containsString="0" containsBlank="1" minDate="2024-01-01T00:00:00" maxDate="2506-01-01T00:00:00" count="99">
        <d v="2025-09-04T00:00:00"/>
        <d v="2025-10-23T00:00:00"/>
        <d v="2505-12-31T00:00:00"/>
        <d v="2025-01-21T00:00:00"/>
        <d v="2025-01-25T00:00:00"/>
        <d v="2025-01-13T00:00:00"/>
        <d v="2025-02-14T00:00:00"/>
        <d v="2025-01-31T00:00:00"/>
        <d v="2025-03-28T00:00:00"/>
        <d v="2025-08-27T00:00:00"/>
        <d v="2025-09-13T00:00:00"/>
        <d v="2025-12-31T00:00:00"/>
        <d v="2025-04-13T00:00:00"/>
        <d v="2025-03-29T00:00:00"/>
        <d v="2025-05-05T00:00:00"/>
        <d v="2025-01-07T00:00:00"/>
        <d v="2025-02-18T00:00:00"/>
        <d v="2025-04-30T00:00:00"/>
        <d v="2025-04-05T00:00:00"/>
        <d v="2025-09-08T00:00:00"/>
        <d v="2025-01-01T00:00:00"/>
        <d v="2025-01-14T00:00:00"/>
        <d v="2025-01-02T00:00:00"/>
        <d v="2025-01-15T00:00:00"/>
        <d v="2025-01-03T00:00:00"/>
        <d v="2025-01-22T00:00:00"/>
        <d v="2025-01-29T00:00:00"/>
        <d v="2025-01-30T00:00:00"/>
        <d v="2025-02-05T00:00:00"/>
        <d v="2025-02-10T00:00:00"/>
        <d v="2025-02-20T00:00:00"/>
        <d v="2025-02-21T00:00:00"/>
        <d v="2025-03-03T00:00:00"/>
        <d v="2025-03-04T00:00:00"/>
        <d v="2025-03-17T00:00:00"/>
        <d v="2025-03-14T00:00:00"/>
        <d v="2025-04-21T00:00:00"/>
        <d v="2025-05-07T00:00:00"/>
        <d v="2025-05-21T00:00:00"/>
        <d v="2025-05-30T00:00:00"/>
        <d v="2025-06-18T00:00:00"/>
        <d v="2025-08-30T00:00:00"/>
        <d v="2025-07-31T00:00:00"/>
        <d v="2025-09-07T00:00:00"/>
        <d v="2025-09-11T00:00:00"/>
        <d v="2025-06-30T00:00:00"/>
        <d v="2024-12-31T00:00:00"/>
        <m/>
        <d v="2025-09-10T00:00:00" u="1"/>
        <d v="2025-09-05T00:00:00" u="1"/>
        <d v="2025-09-03T00:00:00" u="1"/>
        <d v="2025-09-02T00:00:00" u="1"/>
        <d v="2025-05-23T00:00:00" u="1"/>
        <d v="2025-07-08T00:00:00" u="1"/>
        <d v="2025-07-25T00:00:00" u="1"/>
        <d v="2025-08-28T00:00:00" u="1"/>
        <d v="2024-01-01T00:00:00" u="1"/>
        <d v="2025-03-31T00:00:00" u="1"/>
        <d v="2025-02-03T00:00:00" u="1"/>
        <d v="2025-02-28T00:00:00" u="1"/>
        <d v="2024-04-15T00:00:00" u="1"/>
        <d v="2025-05-01T00:00:00" u="1"/>
        <d v="2025-07-02T00:00:00" u="1"/>
        <d v="2025-06-16T00:00:00" u="1"/>
        <d v="2025-07-14T00:00:00" u="1"/>
        <d v="2025-05-15T00:00:00" u="1"/>
        <d v="2025-08-24T00:00:00" u="1"/>
        <d v="2025-06-08T00:00:00" u="1"/>
        <d v="2025-06-25T00:00:00" u="1"/>
        <d v="2025-07-10T00:00:00" u="1"/>
        <d v="2025-01-16T00:00:00" u="1"/>
        <d v="2025-01-17T00:00:00" u="1"/>
        <d v="2025-01-23T00:00:00" u="1"/>
        <d v="2025-01-24T00:00:00" u="1"/>
        <d v="2025-01-28T00:00:00" u="1"/>
        <d v="2025-02-07T00:00:00" u="1"/>
        <d v="2025-02-11T00:00:00" u="1"/>
        <d v="2025-02-12T00:00:00" u="1"/>
        <d v="2025-02-13T00:00:00" u="1"/>
        <d v="2025-02-19T00:00:00" u="1"/>
        <d v="2025-02-26T00:00:00" u="1"/>
        <d v="2025-03-05T00:00:00" u="1"/>
        <d v="2025-03-13T00:00:00" u="1"/>
        <d v="2025-03-20T00:00:00" u="1"/>
        <d v="2025-03-24T00:00:00" u="1"/>
        <d v="2025-03-26T00:00:00" u="1"/>
        <d v="2025-04-02T00:00:00" u="1"/>
        <d v="2025-04-17T00:00:00" u="1"/>
        <d v="2025-05-12T00:00:00" u="1"/>
        <d v="2025-05-28T00:00:00" u="1"/>
        <d v="2025-06-02T00:00:00" u="1"/>
        <d v="2025-06-10T00:00:00" u="1"/>
        <d v="2025-06-13T00:00:00" u="1"/>
        <d v="2025-06-20T00:00:00" u="1"/>
        <d v="2025-08-20T00:00:00" u="1"/>
        <d v="2025-08-31T00:00:00" u="1"/>
        <d v="2025-08-19T00:00:00" u="1"/>
        <d v="2025-08-18T00:00:00" u="1"/>
        <d v="2025-08-15T00:00:00" u="1"/>
      </sharedItems>
    </cacheField>
    <cacheField name="REF" numFmtId="0">
      <sharedItems containsBlank="1" count="263">
        <s v="1"/>
        <s v="2"/>
        <s v="3"/>
        <s v="251299"/>
        <s v="250501"/>
        <s v="250502"/>
        <s v="250503"/>
        <s v="250504"/>
        <s v="250505"/>
        <s v="250506"/>
        <s v="250507"/>
        <s v="250508"/>
        <s v="250509"/>
        <s v="250499"/>
        <s v="250401"/>
        <s v="250301"/>
        <s v="2506199"/>
        <s v="25016199"/>
        <s v="SJ-251181"/>
        <s v="SJ-251182"/>
        <s v="SJ-251183"/>
        <s v="SJ-251184"/>
        <s v="110"/>
        <s v="111"/>
        <s v="112"/>
        <s v="113"/>
        <s v="114"/>
        <s v="115"/>
        <s v="116"/>
        <s v="117"/>
        <s v="118"/>
        <s v="119"/>
        <s v="120"/>
        <s v="121"/>
        <s v="2000"/>
        <s v="2001"/>
        <s v="2002"/>
        <s v="2003"/>
        <s v="2004"/>
        <s v="2005"/>
        <s v="2006"/>
        <s v="106"/>
        <s v="107"/>
        <s v="122"/>
        <s v="123"/>
        <s v="124"/>
        <s v="125"/>
        <s v="126"/>
        <s v="127"/>
        <s v="128"/>
        <s v="129"/>
        <s v="130"/>
        <s v="131"/>
        <s v="132"/>
        <s v="133"/>
        <s v="134"/>
        <s v="135"/>
        <s v="136"/>
        <s v="137"/>
        <s v="138"/>
        <s v="139"/>
        <s v="140"/>
        <s v="141"/>
        <s v="142"/>
        <s v="143"/>
        <s v="144"/>
        <s v="145"/>
        <s v="146"/>
        <s v="147"/>
        <s v="148"/>
        <s v="149"/>
        <s v="150"/>
        <s v="151"/>
        <s v="152"/>
        <s v="153"/>
        <s v="154"/>
        <s v="155"/>
        <s v="156"/>
        <s v="157"/>
        <s v="158"/>
        <s v="159"/>
        <s v="160"/>
        <s v="161"/>
        <s v="162"/>
        <s v="163"/>
        <s v="164"/>
        <s v="2025"/>
        <s v="250801"/>
        <s v="250701"/>
        <s v="250901"/>
        <s v="250902"/>
        <s v="250903"/>
        <s v="250904"/>
        <s v="250905"/>
        <s v="249999"/>
        <s v="BF-01"/>
        <m/>
        <s v="JE-4" u="1"/>
        <s v="259999" u="1"/>
        <s v="CD-001" u="1"/>
        <s v="CD-002" u="1"/>
        <s v="CD-003" u="1"/>
        <s v="CD-004" u="1"/>
        <s v="CD-005" u="1"/>
        <s v="CD-006" u="1"/>
        <s v="CD-007" u="1"/>
        <s v="CD-TOTAL" u="1"/>
        <s v="CRT-001" u="1"/>
        <s v="CR-001" u="1"/>
        <s v="CR-002" u="1"/>
        <s v="CR-003" u="1"/>
        <s v="CR-004" u="1"/>
        <s v="CR-006" u="1"/>
        <s v="CR-007" u="1"/>
        <s v="CR-008" u="1"/>
        <s v="JE-2" u="1"/>
        <s v="JE-3" u="1"/>
        <s v="JE-5" u="1"/>
        <s v="JE-6" u="1"/>
        <s v="JE-7" u="1"/>
        <s v="JE-8" u="1"/>
        <s v="JE-9" u="1"/>
        <s v="JE-10" u="1"/>
        <s v="JE-11" u="1"/>
        <s v="JE-12" u="1"/>
        <s v="JE12" u="1"/>
        <s v="JE13" u="1"/>
        <s v="JE14" u="1"/>
        <s v="JE15" u="1"/>
        <s v="JE16" u="1"/>
        <s v="JE17" u="1"/>
        <s v="JE18" u="1"/>
        <s v="CD-008" u="1"/>
        <s v="CD-009" u="1"/>
        <s v="CD-010" u="1"/>
        <s v="CD-011" u="1"/>
        <s v="CD-012" u="1"/>
        <s v="CD-013" u="1"/>
        <s v="CD-014" u="1"/>
        <s v="CD-015" u="1"/>
        <s v="CD-016" u="1"/>
        <s v="CD-017" u="1"/>
        <s v="CD-018" u="1"/>
        <s v="CD-019" u="1"/>
        <s v="CD-020" u="1"/>
        <s v="CD-021" u="1"/>
        <s v="CD-ITC" u="1"/>
        <s v="SJ-251186" u="1"/>
        <s v="SJ-251187" u="1"/>
        <s v="SJ-251188" u="1"/>
        <s v="SJ-251189" u="1"/>
        <s v="SJ-251190" u="1"/>
        <s v="SJ-251191" u="1"/>
        <s v="SJ-251192" u="1"/>
        <s v="165" u="1"/>
        <s v="166" u="1"/>
        <s v="167" u="1"/>
        <s v="168" u="1"/>
        <s v="169" u="1"/>
        <s v="170" u="1"/>
        <s v="171" u="1"/>
        <s v="172" u="1"/>
        <s v="173" u="1"/>
        <s v="174" u="1"/>
        <s v="175" u="1"/>
        <s v="176" u="1"/>
        <s v="177" u="1"/>
        <s v="178" u="1"/>
        <s v="179" u="1"/>
        <s v="180" u="1"/>
        <s v="181" u="1"/>
        <s v="182" u="1"/>
        <s v="183" u="1"/>
        <s v="184" u="1"/>
        <s v="185" u="1"/>
        <s v="186" u="1"/>
        <s v="187" u="1"/>
        <s v="188" u="1"/>
        <s v="189" u="1"/>
        <s v="190" u="1"/>
        <s v="191" u="1"/>
        <s v="192" u="1"/>
        <s v="193" u="1"/>
        <s v="194" u="1"/>
        <s v="195" u="1"/>
        <s v="196" u="1"/>
        <s v="197" u="1"/>
        <s v="198" u="1"/>
        <s v="199" u="1"/>
        <s v="200" u="1"/>
        <s v="201" u="1"/>
        <s v="202" u="1"/>
        <s v="203" u="1"/>
        <s v="204" u="1"/>
        <s v="205" u="1"/>
        <s v="206" u="1"/>
        <s v="207" u="1"/>
        <s v="208" u="1"/>
        <s v="209" u="1"/>
        <s v="210" u="1"/>
        <s v="211" u="1"/>
        <s v="212" u="1"/>
        <s v="213" u="1"/>
        <s v="214" u="1"/>
        <s v="215" u="1"/>
        <s v="216" u="1"/>
        <s v="217" u="1"/>
        <s v="218" u="1"/>
        <s v="219" u="1"/>
        <s v="220" u="1"/>
        <s v="221" u="1"/>
        <s v="222" u="1"/>
        <s v="223" u="1"/>
        <s v="224" u="1"/>
        <s v="225" u="1"/>
        <s v="226" u="1"/>
        <s v="227" u="1"/>
        <s v="228" u="1"/>
        <s v="229" u="1"/>
        <s v="230" u="1"/>
        <s v="231" u="1"/>
        <s v="232" u="1"/>
        <s v="233" u="1"/>
        <s v="234" u="1"/>
        <s v="235" u="1"/>
        <s v="236" u="1"/>
        <s v="237" u="1"/>
        <s v="238" u="1"/>
        <s v="239" u="1"/>
        <s v="240" u="1"/>
        <s v="241" u="1"/>
        <s v="242" u="1"/>
        <s v="243" u="1"/>
        <s v="244" u="1"/>
        <s v="245" u="1"/>
        <s v="246" u="1"/>
        <s v="247" u="1"/>
        <s v="248" u="1"/>
        <s v="249" u="1"/>
        <s v="250" u="1"/>
        <s v="251" u="1"/>
        <s v="252" u="1"/>
        <s v="253" u="1"/>
        <s v="254" u="1"/>
        <s v="255" u="1"/>
        <s v="256" u="1"/>
        <s v="257" u="1"/>
        <s v="258" u="1"/>
        <s v="259" u="1"/>
        <s v="260" u="1"/>
        <s v="261" u="1"/>
        <s v="262" u="1"/>
        <s v="263" u="1"/>
        <s v="264" u="1"/>
        <s v="265" u="1"/>
        <s v="266" u="1"/>
        <s v="267" u="1"/>
        <s v="268" u="1"/>
        <s v="269" u="1"/>
        <s v="JE-1" u="1"/>
        <s v="CR-005" u="1"/>
        <s v="SJ-251185" u="1"/>
        <s v="CR-009" u="1"/>
      </sharedItems>
    </cacheField>
    <cacheField name="SOURCE" numFmtId="0">
      <sharedItems containsBlank="1" count="12">
        <s v="JE"/>
        <s v="CD"/>
        <s v="CR"/>
        <s v="SJ"/>
        <s v="BK-US"/>
        <s v="BK-CDN"/>
        <s v="WJ"/>
        <s v="CCJ"/>
        <s v="PJ"/>
        <s v="BF"/>
        <m/>
        <s v=" " u="1"/>
      </sharedItems>
    </cacheField>
    <cacheField name="PARTICULARS" numFmtId="0">
      <sharedItems containsBlank="1"/>
    </cacheField>
    <cacheField name="ACCOUNT" numFmtId="0">
      <sharedItems count="197">
        <s v="1139 Exchange/mark to market"/>
        <s v="4190 Unrealized gain/loss on Canadian securities"/>
        <s v="4191 Unrealized gain/loss on foreign securities"/>
        <s v="8900 Gain on disposition of assets"/>
        <s v="2205 HST Returns"/>
        <s v="1141 Miscellaneous receivables"/>
        <s v="1742 Automobile"/>
        <s v="1743 Automobile:Accum Dep"/>
        <s v="5010 Amortization Expense"/>
        <s v="1102 General Bank Account"/>
        <s v="6230 Interest Long Term Debt"/>
        <s v="2150 Accounts payable"/>
        <s v="6430 Light and heat"/>
        <s v="6410 Rent"/>
        <s v="5500 Cost of Sales"/>
        <s v="4912 Freight\Courier"/>
        <s v="6510 Professional fees"/>
        <s v="1140 Accounts Receivable"/>
        <s v="2210 ITC"/>
        <s v="4010 Sales"/>
        <s v="1132 Broker US Securities"/>
        <s v="4170 US Sale of Securities"/>
        <s v="1121 Broker US Cash"/>
        <s v="4171 Cost of US Securities Sold"/>
        <s v="1119 Bank Transfer Account"/>
        <s v="4023 Sale of CDN Securities "/>
        <s v="1131 Broker CDN Securities"/>
        <s v="2990 Due from a shareholder "/>
        <s v="4460 Dividends Cdn"/>
        <s v="4140 Foreign Taxes Paid"/>
        <s v="1120 Broker CDN Cash"/>
        <s v="4156 Cost of CDN Securities Sold"/>
        <s v="6175 Executive salaries"/>
        <s v="6186 Admin Wage costs"/>
        <s v="2161 Union dues payable"/>
        <s v="2162 Payroll Liabilities"/>
        <s v="2160 Payroll Clearing"/>
        <s v="5600 Direct supplies"/>
        <s v="6487 Glass Cleaning"/>
        <s v="4910 Equipment"/>
        <s v="6450 Property repairs"/>
        <s v="6440 Alarm"/>
        <s v="1101 Cash on hand"/>
        <s v="1300 Inventory"/>
        <s v="1484 Prepaid expenses"/>
        <s v="1774 Computer"/>
        <s v="1775 Computer accumulated amortization"/>
        <s v="1787 Equipment "/>
        <s v="1788 Equipment accumulated amortization"/>
        <s v="1918 Leasehold improvements "/>
        <s v="1919 Leasehold improvements accumulated Amortization"/>
        <s v="2016 Franchise Fee"/>
        <s v="2017 Franchise Fee accumulated amortization"/>
        <s v="2151 Fundraiser Coupon Payable"/>
        <s v="2152 Accruals"/>
        <s v="2171 Corporate Income taxes payable"/>
        <s v="2214 Due to a Related Party"/>
        <s v="2427 Cash Surrender of Life Insurance"/>
        <s v="2998 Current principal payments"/>
        <s v="3100 Deferred Income tax"/>
        <s v="3120 Bank term loan"/>
        <s v="3150 Principal due within 1 year-LTD"/>
        <s v="3190 Dividends"/>
        <s v="3400 Capital Stock"/>
        <s v="3500 Retained Earnings"/>
        <s v="4020 Beverages"/>
        <s v="4030 Miscellaneous revenue"/>
        <s v="4035  Gift Cards Sales"/>
        <s v="4040  Overages and shortages"/>
        <s v="5195 Direct Labour"/>
        <s v="5196 Direct labour wage costs"/>
        <s v="6176 Executive wage costs"/>
        <s v="6185 Admin Salaries"/>
        <s v="6210 Bank Service Charges"/>
        <s v="6240  Interac charges"/>
        <s v="6310 Franchise fees"/>
        <s v="6330 Advertising and Promotion"/>
        <s v="6360 Charitable Contributions"/>
        <s v="6380 Meals and entertainment"/>
        <s v="6420 Municipal taxes"/>
        <s v="6455 Snow clearing"/>
        <s v="6460 Equipment repairs"/>
        <s v="6480 Building insurance"/>
        <s v="6495 Pest Control"/>
        <s v="6497 Garbage Removal"/>
        <s v="6512 Telephone"/>
        <s v="6625  Uniforms"/>
        <s v="6630  Kitchen Supplies"/>
        <s v="6640  Computer/Cash Register"/>
        <s v="6650  Music System"/>
        <s v="6660  Bathroom supplies"/>
        <s v="6670  Miscellaneous supplies (L"/>
        <s v="6680  Cleaning supplies"/>
        <s v="6690  Pens, Stationery etc."/>
        <s v="6695  Miscellaneous"/>
        <s v="6741 Vehicle Expense"/>
        <s v="6742 Vehicle repairs"/>
        <s v="6743 Vehicle lease"/>
        <s v="6745 Vehicle Insurance "/>
        <s v="2209 HST collected" u="1"/>
        <s v="6487  Glass Cleaning" u="1"/>
        <s v="4914 Safety Equipment" u="1"/>
        <s v="6495  Pest Control" u="1"/>
        <s v="6497  Garbage Removal" u="1"/>
        <s v="2151  Fundraiser Coupon Payable" u="1"/>
        <s v="2427  Cash Surrender of Life Insurance" u="1"/>
        <s v="6690  Pens, Stationery etc" u="1"/>
        <s v="6480 Building insurace" u="1"/>
        <s v="6450 Property Reapirs" u="1"/>
        <s v="2990 Due from a sharholder " u="1"/>
        <s v="4190 Unrealized gain/loss on foreign securities" u="1"/>
        <s v="1918 Leashold improvements " u="1"/>
        <s v="1919 Leashold improvements accumulated Amortization" u="1"/>
        <s v="2164 Workers Comp Payable" u="1"/>
        <s v="3110 Condirional Sales Contract" u="1"/>
        <s v="1743 Vehicle:Accum Dep" u="1"/>
        <s v="2158 Bonus Payable" u="1"/>
        <s v="5101 Wages" u="1"/>
        <s v="5102 Wage Costs" u="1"/>
        <s v="2162 Employee deductions" u="1"/>
        <s v="5704 Security" u="1"/>
        <s v="5203 Interest Long Term Debt" u="1"/>
        <s v="4900 Cost of Sales" u="1"/>
        <s v="9220 Light and heat" u="1"/>
        <s v="8911 Rent" u="1"/>
        <s v="3999 Revenue" u="1"/>
        <s v="1103 BMO Overdraft" u="1"/>
        <s v="1146 Acct Rec - Shareholder" u="1"/>
        <s v="1231 Automobile" u="1"/>
        <s v="1232 Vehicle:Accum Dep" u="1"/>
        <s v="1740 Furniture" u="1"/>
        <s v="1741 Furniture accumulated amortization" u="1"/>
        <s v="2170 Income Tax Interim Payments" u="1"/>
        <s v="3200 ABC Company" u="1"/>
        <s v="4150 Capital Gains" u="1"/>
        <s v="4299 Investment management fees" u="1"/>
        <s v="5103 WHSCC" u="1"/>
        <s v="5104 Payroll Expense - Directors" u="1"/>
        <s v="5105 Miscellaneous wages" u="1"/>
        <s v="5107 Consultanting fees" u="1"/>
        <s v="5108 Training" u="1"/>
        <s v="5106 Payroll Expenses" u="1"/>
        <s v="5511 Parking" u="1"/>
        <s v="5512 Vehicle Expense" u="1"/>
        <s v="5514 Vehicle repairs" u="1"/>
        <s v="5557 Vehicle Insurance " u="1"/>
        <s v="5201 Bank Service Charges" u="1"/>
        <s v="5692 Miscellaneous Expense" u="1"/>
        <s v="5701 Office Supplies" u="1"/>
        <s v="5710 Professional fees" u="1"/>
        <s v="5706 Offshore - Medicals" u="1"/>
        <s v="5601 Advertising and Promotion" u="1"/>
        <s v="5603 Charitable Contributions" u="1"/>
        <s v="9200 Travel Expense" u="1"/>
        <s v="1681  Building  accumulaed amortizaion" u="1"/>
        <s v="9990 interest and penalties - CRA" u="1"/>
        <s v="4109 Cdn Interest income" u="1"/>
        <s v="4120 US Dividends" u="1"/>
        <s v="9991 income tax " u="1"/>
        <s v="1600 Land" u="1"/>
        <s v="3145 Mortgage payable" u="1"/>
        <s v="9180 Municipal taxes" u="1"/>
        <s v="8690 Building insurace" u="1"/>
        <s v="5602 Meals and entertainment" u="1"/>
        <s v="5702 Telephone" u="1"/>
        <s v="1680 Building" u="1"/>
        <s v="4203 Sale of CDN Securities " u="1"/>
        <s v="4180 Gain/(loss) on disposition cdn SHARES" u="1"/>
        <s v="5202 Brokers Margin Interest" u="1"/>
        <s v="4002 Discounts &amp; Promotions" u="1"/>
        <s v="4110 Investment Income Foreign " u="1"/>
        <s v="5710 Group insurance" u="1"/>
        <s v="5690 Insurance Expense: Professional Liability" u="1"/>
        <s v="5691 Business Licenses and Permits" u="1"/>
        <s v="5705 Bad Debt expense" u="1"/>
        <s v="9991 interest and penalties - CRA" u="1"/>
        <s v="2990 Due to a shareholder " u="1"/>
        <s v="4110 Cdn Dividends" u="1"/>
        <s v="4130 US Interest Income" u="1"/>
        <s v="5557 Insurance Expense" u="1"/>
        <s v="5501 Fuel - Travel" u="1"/>
        <s v="9990 income tax " u="1"/>
        <s v="1131 TD Investments" u="1"/>
        <s v="1132 Broker 2  US Securities" u="1"/>
        <s v="1120 Mutual Funds" u="1"/>
        <s v="1121 BMO Broker " u="1"/>
        <s v="1120 Alliance 1" u="1"/>
        <s v="1121 BMO Investments " u="1"/>
        <s v="1140 Miscellaneous receivables" u="1"/>
        <s v="1231 Vehicle " u="1"/>
        <s v="1142 Acct Rec - Shareholder" u="1"/>
        <s v="2214 due from a Related Party" u="1"/>
        <s v="3110 Condirional Sales Contracr" u="1"/>
        <s v="2998 RBC - F150 Loan:RBC-F150 Loan  Current Portion" u="1"/>
        <s v="3110 RBC - F150 Loan" u="1"/>
        <s v="1231 Ford F150 Truck" u="1"/>
        <s v="1232 Ford F150 Truck:Accum Dep - F150" u="1"/>
      </sharedItems>
    </cacheField>
    <cacheField name="AMOUNT" numFmtId="0">
      <sharedItems containsSemiMixedTypes="0" containsString="0" containsNumber="1" minValue="-5257237.03" maxValue="2019674.17"/>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7">
  <r>
    <x v="0"/>
    <x v="0"/>
    <x v="0"/>
    <s v="TO SHOW MKT SECURITIES AT MARKET"/>
    <x v="0"/>
    <n v="18415"/>
  </r>
  <r>
    <x v="0"/>
    <x v="0"/>
    <x v="0"/>
    <s v="TO SHOW MKT SECURITIES AT MARKET"/>
    <x v="1"/>
    <n v="-12350"/>
  </r>
  <r>
    <x v="0"/>
    <x v="0"/>
    <x v="0"/>
    <s v="TO SHOW MKT SECURITIES AT MARKET"/>
    <x v="2"/>
    <n v="-6065"/>
  </r>
  <r>
    <x v="0"/>
    <x v="0"/>
    <x v="0"/>
    <s v="TO SHOW MKT SECURITIES AT MARKET"/>
    <x v="0"/>
    <n v="200"/>
  </r>
  <r>
    <x v="0"/>
    <x v="0"/>
    <x v="0"/>
    <s v="TO SHOW MKT SECURITIES AT MARKET"/>
    <x v="2"/>
    <n v="-200"/>
  </r>
  <r>
    <x v="1"/>
    <x v="1"/>
    <x v="0"/>
    <s v="SALE OF FORF F150"/>
    <x v="3"/>
    <n v="-25000"/>
  </r>
  <r>
    <x v="1"/>
    <x v="1"/>
    <x v="0"/>
    <s v="HST THEREON"/>
    <x v="4"/>
    <n v="-3750"/>
  </r>
  <r>
    <x v="1"/>
    <x v="1"/>
    <x v="0"/>
    <s v="sale of Ford"/>
    <x v="5"/>
    <n v="28750"/>
  </r>
  <r>
    <x v="1"/>
    <x v="1"/>
    <x v="0"/>
    <s v="to TFR NBV of asset sold"/>
    <x v="3"/>
    <n v="17674.259999999998"/>
  </r>
  <r>
    <x v="1"/>
    <x v="1"/>
    <x v="0"/>
    <s v="to remove cost of auto sold"/>
    <x v="6"/>
    <n v="-29704.95"/>
  </r>
  <r>
    <x v="1"/>
    <x v="1"/>
    <x v="0"/>
    <s v="To remove Ac Amort of asset sold"/>
    <x v="7"/>
    <n v="12030.69"/>
  </r>
  <r>
    <x v="1"/>
    <x v="2"/>
    <x v="0"/>
    <s v="to adjust amortization"/>
    <x v="7"/>
    <n v="-1490.32"/>
  </r>
  <r>
    <x v="1"/>
    <x v="2"/>
    <x v="0"/>
    <s v="to adjust amortization"/>
    <x v="8"/>
    <n v="1490.32"/>
  </r>
  <r>
    <x v="2"/>
    <x v="3"/>
    <x v="1"/>
    <s v="Total Cheques"/>
    <x v="9"/>
    <n v="-26288.18"/>
  </r>
  <r>
    <x v="3"/>
    <x v="4"/>
    <x v="1"/>
    <s v="L-1000 Level One Bank "/>
    <x v="10"/>
    <n v="451.89"/>
  </r>
  <r>
    <x v="4"/>
    <x v="5"/>
    <x v="1"/>
    <s v="E-1000 Eastern Market Wholesale"/>
    <x v="11"/>
    <n v="791.52"/>
  </r>
  <r>
    <x v="5"/>
    <x v="6"/>
    <x v="1"/>
    <s v="G-1002 Great Lakes Gas"/>
    <x v="12"/>
    <n v="810"/>
  </r>
  <r>
    <x v="6"/>
    <x v="7"/>
    <x v="1"/>
    <s v="K-2000 KEYSTONE PROPERTIES INC."/>
    <x v="13"/>
    <n v="810"/>
  </r>
  <r>
    <x v="7"/>
    <x v="8"/>
    <x v="1"/>
    <s v="R-1099 Rock Security "/>
    <x v="11"/>
    <n v="541"/>
  </r>
  <r>
    <x v="8"/>
    <x v="9"/>
    <x v="1"/>
    <s v="M-1000 Motor City Beverage Company"/>
    <x v="11"/>
    <n v="15180"/>
  </r>
  <r>
    <x v="9"/>
    <x v="10"/>
    <x v="1"/>
    <s v="S-1000 Sysco "/>
    <x v="14"/>
    <n v="2850.75"/>
  </r>
  <r>
    <x v="9"/>
    <x v="10"/>
    <x v="1"/>
    <s v="S-1000 Sysco "/>
    <x v="14"/>
    <n v="3275.42"/>
  </r>
  <r>
    <x v="9"/>
    <x v="10"/>
    <x v="1"/>
    <s v="S-1000 Sysco "/>
    <x v="14"/>
    <n v="-157.4"/>
  </r>
  <r>
    <x v="10"/>
    <x v="11"/>
    <x v="1"/>
    <s v="M-1000 Mastercard"/>
    <x v="15"/>
    <n v="115"/>
  </r>
  <r>
    <x v="10"/>
    <x v="12"/>
    <x v="1"/>
    <s v="E-1000 EZ Ledgers Inc."/>
    <x v="16"/>
    <n v="1620"/>
  </r>
  <r>
    <x v="11"/>
    <x v="13"/>
    <x v="2"/>
    <s v="Total Deposits"/>
    <x v="9"/>
    <n v="15261.25"/>
  </r>
  <r>
    <x v="12"/>
    <x v="14"/>
    <x v="2"/>
    <s v="KEITH'S WINE BAR"/>
    <x v="17"/>
    <n v="-3450"/>
  </r>
  <r>
    <x v="13"/>
    <x v="15"/>
    <x v="2"/>
    <s v="COTTAGES FOR RENT "/>
    <x v="17"/>
    <n v="-1811.25"/>
  </r>
  <r>
    <x v="14"/>
    <x v="4"/>
    <x v="2"/>
    <s v="BIG BAD WOLF INC"/>
    <x v="17"/>
    <n v="-10000"/>
  </r>
  <r>
    <x v="2"/>
    <x v="16"/>
    <x v="3"/>
    <s v="Total Sales"/>
    <x v="17"/>
    <n v="23833.75"/>
  </r>
  <r>
    <x v="2"/>
    <x v="17"/>
    <x v="3"/>
    <s v="Total ITC"/>
    <x v="18"/>
    <n v="-3108.75"/>
  </r>
  <r>
    <x v="15"/>
    <x v="18"/>
    <x v="3"/>
    <s v="KEITH'S WINE BAR"/>
    <x v="19"/>
    <n v="-3000"/>
  </r>
  <r>
    <x v="16"/>
    <x v="19"/>
    <x v="3"/>
    <s v="COTTAGES FOR RENT "/>
    <x v="19"/>
    <n v="-1575"/>
  </r>
  <r>
    <x v="17"/>
    <x v="20"/>
    <x v="3"/>
    <s v="BIG BAD WOLF INC"/>
    <x v="19"/>
    <n v="-15000"/>
  </r>
  <r>
    <x v="18"/>
    <x v="21"/>
    <x v="3"/>
    <s v="OLEANNA'S LITTLE HELPER INC"/>
    <x v="19"/>
    <n v="-1150"/>
  </r>
  <r>
    <x v="5"/>
    <x v="22"/>
    <x v="4"/>
    <s v="COP"/>
    <x v="20"/>
    <n v="10398.98"/>
  </r>
  <r>
    <x v="5"/>
    <x v="23"/>
    <x v="4"/>
    <s v="OXY"/>
    <x v="20"/>
    <n v="10416.99"/>
  </r>
  <r>
    <x v="5"/>
    <x v="24"/>
    <x v="4"/>
    <s v="MSFT"/>
    <x v="21"/>
    <n v="-10401.219999999999"/>
  </r>
  <r>
    <x v="5"/>
    <x v="25"/>
    <x v="4"/>
    <s v="IREN"/>
    <x v="21"/>
    <n v="-10039.73"/>
  </r>
  <r>
    <x v="5"/>
    <x v="26"/>
    <x v="4"/>
    <s v="META"/>
    <x v="21"/>
    <n v="-12011.17"/>
  </r>
  <r>
    <x v="5"/>
    <x v="27"/>
    <x v="4"/>
    <s v="CRWD"/>
    <x v="21"/>
    <n v="-9515.0300000000007"/>
  </r>
  <r>
    <x v="5"/>
    <x v="28"/>
    <x v="4"/>
    <s v="CROX"/>
    <x v="21"/>
    <n v="-10543.71"/>
  </r>
  <r>
    <x v="19"/>
    <x v="29"/>
    <x v="4"/>
    <s v="COP"/>
    <x v="20"/>
    <n v="10398.98"/>
  </r>
  <r>
    <x v="19"/>
    <x v="30"/>
    <x v="4"/>
    <s v="MSFT"/>
    <x v="20"/>
    <n v="11108.71"/>
  </r>
  <r>
    <x v="19"/>
    <x v="31"/>
    <x v="4"/>
    <s v="MSFT"/>
    <x v="20"/>
    <n v="11108.71"/>
  </r>
  <r>
    <x v="19"/>
    <x v="32"/>
    <x v="4"/>
    <s v="MSFT"/>
    <x v="20"/>
    <n v="11108.71"/>
  </r>
  <r>
    <x v="19"/>
    <x v="33"/>
    <x v="4"/>
    <s v="COP"/>
    <x v="20"/>
    <n v="10398.98"/>
  </r>
  <r>
    <x v="11"/>
    <x v="34"/>
    <x v="4"/>
    <s v="Total Dsibursements"/>
    <x v="22"/>
    <n v="-74940.06"/>
  </r>
  <r>
    <x v="11"/>
    <x v="35"/>
    <x v="4"/>
    <s v="Total Receipts"/>
    <x v="22"/>
    <n v="52510.86"/>
  </r>
  <r>
    <x v="11"/>
    <x v="36"/>
    <x v="4"/>
    <s v="ACB of Securities Sold"/>
    <x v="23"/>
    <n v="54736.17"/>
  </r>
  <r>
    <x v="11"/>
    <x v="37"/>
    <x v="4"/>
    <s v="Cost of  Disposition "/>
    <x v="20"/>
    <n v="-54736.17"/>
  </r>
  <r>
    <x v="20"/>
    <x v="38"/>
    <x v="4"/>
    <s v="Opening Cash Balance"/>
    <x v="24"/>
    <n v="176.75"/>
  </r>
  <r>
    <x v="20"/>
    <x v="39"/>
    <x v="4"/>
    <s v="Opening Mkt Sec Bal"/>
    <x v="24"/>
    <n v="-94233.04"/>
  </r>
  <r>
    <x v="20"/>
    <x v="40"/>
    <x v="4"/>
    <s v="Clearing A/c"/>
    <x v="24"/>
    <n v="94056.29"/>
  </r>
  <r>
    <x v="5"/>
    <x v="41"/>
    <x v="5"/>
    <s v="JCI"/>
    <x v="25"/>
    <n v="-11122.23"/>
  </r>
  <r>
    <x v="21"/>
    <x v="42"/>
    <x v="5"/>
    <s v="MS"/>
    <x v="26"/>
    <n v="13625.8"/>
  </r>
  <r>
    <x v="22"/>
    <x v="22"/>
    <x v="5"/>
    <s v="GRANT"/>
    <x v="27"/>
    <n v="-200"/>
  </r>
  <r>
    <x v="22"/>
    <x v="23"/>
    <x v="5"/>
    <s v="VRN"/>
    <x v="28"/>
    <n v="-11.16"/>
  </r>
  <r>
    <x v="22"/>
    <x v="24"/>
    <x v="5"/>
    <s v="VRN"/>
    <x v="26"/>
    <n v="7.64"/>
  </r>
  <r>
    <x v="23"/>
    <x v="25"/>
    <x v="5"/>
    <s v="GRT.UN"/>
    <x v="28"/>
    <n v="-6.77"/>
  </r>
  <r>
    <x v="23"/>
    <x v="26"/>
    <x v="5"/>
    <s v="GRT.UN"/>
    <x v="28"/>
    <n v="-13.06"/>
  </r>
  <r>
    <x v="24"/>
    <x v="27"/>
    <x v="5"/>
    <s v="XFN"/>
    <x v="28"/>
    <n v="-14.2"/>
  </r>
  <r>
    <x v="3"/>
    <x v="29"/>
    <x v="5"/>
    <s v="JCI"/>
    <x v="28"/>
    <n v="-52.34"/>
  </r>
  <r>
    <x v="3"/>
    <x v="30"/>
    <x v="5"/>
    <s v="JCI"/>
    <x v="29"/>
    <n v="13.08"/>
  </r>
  <r>
    <x v="3"/>
    <x v="31"/>
    <x v="5"/>
    <s v="MS"/>
    <x v="25"/>
    <n v="-14872.07"/>
  </r>
  <r>
    <x v="25"/>
    <x v="32"/>
    <x v="5"/>
    <s v="AMZN"/>
    <x v="26"/>
    <n v="15011.33"/>
  </r>
  <r>
    <x v="26"/>
    <x v="33"/>
    <x v="5"/>
    <s v="MFC"/>
    <x v="25"/>
    <n v="-164.89"/>
  </r>
  <r>
    <x v="26"/>
    <x v="43"/>
    <x v="5"/>
    <s v="AMT"/>
    <x v="26"/>
    <n v="12079.18"/>
  </r>
  <r>
    <x v="26"/>
    <x v="44"/>
    <x v="5"/>
    <s v="PEP"/>
    <x v="26"/>
    <n v="3541.84"/>
  </r>
  <r>
    <x v="26"/>
    <x v="45"/>
    <x v="5"/>
    <s v="AMZN"/>
    <x v="25"/>
    <n v="-15637.36"/>
  </r>
  <r>
    <x v="27"/>
    <x v="46"/>
    <x v="5"/>
    <s v="AMT"/>
    <x v="25"/>
    <n v="-11886.86"/>
  </r>
  <r>
    <x v="27"/>
    <x v="47"/>
    <x v="5"/>
    <s v="CROX"/>
    <x v="26"/>
    <n v="6151.37"/>
  </r>
  <r>
    <x v="27"/>
    <x v="48"/>
    <x v="5"/>
    <s v="GLW"/>
    <x v="26"/>
    <n v="5749.84"/>
  </r>
  <r>
    <x v="7"/>
    <x v="49"/>
    <x v="5"/>
    <s v="TD ADJ"/>
    <x v="0"/>
    <n v="-200"/>
  </r>
  <r>
    <x v="28"/>
    <x v="50"/>
    <x v="5"/>
    <s v="GIL"/>
    <x v="26"/>
    <n v="8890.5400000000009"/>
  </r>
  <r>
    <x v="28"/>
    <x v="51"/>
    <x v="5"/>
    <s v="PEP"/>
    <x v="25"/>
    <n v="-3303.29"/>
  </r>
  <r>
    <x v="28"/>
    <x v="52"/>
    <x v="5"/>
    <s v="CROX"/>
    <x v="25"/>
    <n v="-5625.47"/>
  </r>
  <r>
    <x v="29"/>
    <x v="53"/>
    <x v="5"/>
    <s v="XFN"/>
    <x v="28"/>
    <n v="-14"/>
  </r>
  <r>
    <x v="29"/>
    <x v="54"/>
    <x v="5"/>
    <s v="GLW"/>
    <x v="25"/>
    <n v="-6089.35"/>
  </r>
  <r>
    <x v="29"/>
    <x v="55"/>
    <x v="5"/>
    <s v="IREN"/>
    <x v="26"/>
    <n v="6079.31"/>
  </r>
  <r>
    <x v="6"/>
    <x v="56"/>
    <x v="5"/>
    <s v="GRT.UN"/>
    <x v="28"/>
    <n v="-16.86"/>
  </r>
  <r>
    <x v="6"/>
    <x v="57"/>
    <x v="5"/>
    <s v="VRN"/>
    <x v="25"/>
    <n v="-719.18"/>
  </r>
  <r>
    <x v="6"/>
    <x v="58"/>
    <x v="5"/>
    <s v="ADW.A"/>
    <x v="26"/>
    <n v="489"/>
  </r>
  <r>
    <x v="30"/>
    <x v="59"/>
    <x v="5"/>
    <s v="GIL"/>
    <x v="25"/>
    <n v="-9072.74"/>
  </r>
  <r>
    <x v="30"/>
    <x v="60"/>
    <x v="5"/>
    <s v="IREN"/>
    <x v="25"/>
    <n v="-5554.11"/>
  </r>
  <r>
    <x v="31"/>
    <x v="61"/>
    <x v="5"/>
    <s v="CNR"/>
    <x v="26"/>
    <n v="15619.8"/>
  </r>
  <r>
    <x v="32"/>
    <x v="62"/>
    <x v="5"/>
    <s v="GRT.UN"/>
    <x v="25"/>
    <n v="-4727.1000000000004"/>
  </r>
  <r>
    <x v="32"/>
    <x v="63"/>
    <x v="5"/>
    <s v="BLN"/>
    <x v="26"/>
    <n v="4816.12"/>
  </r>
  <r>
    <x v="33"/>
    <x v="64"/>
    <x v="5"/>
    <s v="CNR"/>
    <x v="25"/>
    <n v="-14800.08"/>
  </r>
  <r>
    <x v="34"/>
    <x v="65"/>
    <x v="5"/>
    <s v="GRT.UN"/>
    <x v="28"/>
    <n v="-19.829999999999998"/>
  </r>
  <r>
    <x v="34"/>
    <x v="66"/>
    <x v="5"/>
    <s v="GRT.UN"/>
    <x v="28"/>
    <n v="2.97"/>
  </r>
  <r>
    <x v="34"/>
    <x v="67"/>
    <x v="5"/>
    <s v="XFN"/>
    <x v="28"/>
    <n v="-14"/>
  </r>
  <r>
    <x v="35"/>
    <x v="68"/>
    <x v="5"/>
    <s v="XFN"/>
    <x v="28"/>
    <n v="-14"/>
  </r>
  <r>
    <x v="36"/>
    <x v="69"/>
    <x v="5"/>
    <s v="ADW.A"/>
    <x v="28"/>
    <n v="-6.15"/>
  </r>
  <r>
    <x v="36"/>
    <x v="70"/>
    <x v="5"/>
    <s v="ADW.A"/>
    <x v="26"/>
    <n v="4.45"/>
  </r>
  <r>
    <x v="37"/>
    <x v="71"/>
    <x v="5"/>
    <s v="XFN"/>
    <x v="28"/>
    <n v="-16.899999999999999"/>
  </r>
  <r>
    <x v="38"/>
    <x v="72"/>
    <x v="5"/>
    <s v="GWO"/>
    <x v="26"/>
    <n v="10423.99"/>
  </r>
  <r>
    <x v="38"/>
    <x v="73"/>
    <x v="5"/>
    <s v="ADW.A"/>
    <x v="25"/>
    <n v="-457.63"/>
  </r>
  <r>
    <x v="38"/>
    <x v="74"/>
    <x v="5"/>
    <s v="BLN"/>
    <x v="25"/>
    <n v="-5454.2"/>
  </r>
  <r>
    <x v="38"/>
    <x v="75"/>
    <x v="5"/>
    <s v="FCR.UN"/>
    <x v="26"/>
    <n v="7017.99"/>
  </r>
  <r>
    <x v="38"/>
    <x v="76"/>
    <x v="5"/>
    <s v="KMP.UN"/>
    <x v="26"/>
    <n v="3270.59"/>
  </r>
  <r>
    <x v="39"/>
    <x v="77"/>
    <x v="5"/>
    <s v="XFN"/>
    <x v="28"/>
    <n v="-16.899999999999999"/>
  </r>
  <r>
    <x v="40"/>
    <x v="78"/>
    <x v="5"/>
    <s v="FCR.UN"/>
    <x v="28"/>
    <n v="-29.67"/>
  </r>
  <r>
    <x v="40"/>
    <x v="79"/>
    <x v="5"/>
    <s v="FCR.UN"/>
    <x v="26"/>
    <n v="17.77"/>
  </r>
  <r>
    <x v="39"/>
    <x v="80"/>
    <x v="5"/>
    <s v="KMP.UN"/>
    <x v="28"/>
    <n v="-10.199999999999999"/>
  </r>
  <r>
    <x v="39"/>
    <x v="81"/>
    <x v="5"/>
    <s v="GWO"/>
    <x v="26"/>
    <n v="103.74"/>
  </r>
  <r>
    <x v="39"/>
    <x v="82"/>
    <x v="5"/>
    <s v="GWO"/>
    <x v="28"/>
    <n v="-122"/>
  </r>
  <r>
    <x v="39"/>
    <x v="83"/>
    <x v="5"/>
    <s v="XFN"/>
    <x v="28"/>
    <n v="-16.899999999999999"/>
  </r>
  <r>
    <x v="39"/>
    <x v="84"/>
    <x v="5"/>
    <s v="FCR.UN"/>
    <x v="26"/>
    <n v="18.420000000000002"/>
  </r>
  <r>
    <x v="39"/>
    <x v="85"/>
    <x v="5"/>
    <s v="FCR.UN"/>
    <x v="28"/>
    <n v="-29.74"/>
  </r>
  <r>
    <x v="11"/>
    <x v="34"/>
    <x v="5"/>
    <s v="Total Dsibursements"/>
    <x v="30"/>
    <n v="-112934.77"/>
  </r>
  <r>
    <x v="11"/>
    <x v="35"/>
    <x v="5"/>
    <s v="Total Receipts"/>
    <x v="30"/>
    <n v="110311.24"/>
  </r>
  <r>
    <x v="11"/>
    <x v="36"/>
    <x v="5"/>
    <s v="ACB of Securities Sold"/>
    <x v="31"/>
    <n v="109667.01"/>
  </r>
  <r>
    <x v="11"/>
    <x v="37"/>
    <x v="5"/>
    <s v="Cost of  Disposition "/>
    <x v="26"/>
    <n v="-109667.01"/>
  </r>
  <r>
    <x v="20"/>
    <x v="38"/>
    <x v="5"/>
    <s v="Opening Cash Balance"/>
    <x v="24"/>
    <n v="-2778.58"/>
  </r>
  <r>
    <x v="20"/>
    <x v="39"/>
    <x v="5"/>
    <s v="Opening Mkt Sec Bal"/>
    <x v="24"/>
    <n v="-22661.040000000001"/>
  </r>
  <r>
    <x v="20"/>
    <x v="40"/>
    <x v="5"/>
    <s v="Clearing A/c"/>
    <x v="24"/>
    <n v="25439.62"/>
  </r>
  <r>
    <x v="11"/>
    <x v="86"/>
    <x v="6"/>
    <s v="Bonus"/>
    <x v="32"/>
    <n v="2000"/>
  </r>
  <r>
    <x v="11"/>
    <x v="86"/>
    <x v="6"/>
    <s v="Wage"/>
    <x v="32"/>
    <n v="5000"/>
  </r>
  <r>
    <x v="11"/>
    <x v="86"/>
    <x v="6"/>
    <s v="Wage Cost"/>
    <x v="33"/>
    <n v="602"/>
  </r>
  <r>
    <x v="11"/>
    <x v="86"/>
    <x v="6"/>
    <s v="Other"/>
    <x v="34"/>
    <n v="-20"/>
  </r>
  <r>
    <x v="11"/>
    <x v="86"/>
    <x v="6"/>
    <s v="Remittance"/>
    <x v="35"/>
    <n v="-2667"/>
  </r>
  <r>
    <x v="11"/>
    <x v="86"/>
    <x v="6"/>
    <s v="2160 Payroll Clearing"/>
    <x v="36"/>
    <n v="-4915"/>
  </r>
  <r>
    <x v="11"/>
    <x v="3"/>
    <x v="7"/>
    <s v="Total Charges"/>
    <x v="27"/>
    <n v="-4523.8500000000004"/>
  </r>
  <r>
    <x v="41"/>
    <x v="87"/>
    <x v="7"/>
    <s v="Fast Food Supplies"/>
    <x v="37"/>
    <n v="458.52"/>
  </r>
  <r>
    <x v="42"/>
    <x v="88"/>
    <x v="7"/>
    <s v="Detriot Cleaners"/>
    <x v="38"/>
    <n v="1750"/>
  </r>
  <r>
    <x v="43"/>
    <x v="89"/>
    <x v="7"/>
    <s v="Supplier two"/>
    <x v="39"/>
    <n v="115"/>
  </r>
  <r>
    <x v="44"/>
    <x v="90"/>
    <x v="7"/>
    <s v="K-2000 KEYSTONE PROPERTIES INC."/>
    <x v="40"/>
    <n v="458.75"/>
  </r>
  <r>
    <x v="44"/>
    <x v="91"/>
    <x v="7"/>
    <s v="G-1002 Great Lakes Gas"/>
    <x v="12"/>
    <n v="115"/>
  </r>
  <r>
    <x v="44"/>
    <x v="92"/>
    <x v="7"/>
    <s v="M-1000 Motor City Beverage Company"/>
    <x v="14"/>
    <n v="1057.8399999999999"/>
  </r>
  <r>
    <x v="44"/>
    <x v="93"/>
    <x v="7"/>
    <s v="E-1000 Eastern Market Wholesale"/>
    <x v="14"/>
    <n v="568.74"/>
  </r>
  <r>
    <x v="11"/>
    <x v="94"/>
    <x v="8"/>
    <s v="TOTAL"/>
    <x v="11"/>
    <n v="-20033"/>
  </r>
  <r>
    <x v="41"/>
    <x v="33"/>
    <x v="8"/>
    <s v="M-1000 Motor City Beverage Company"/>
    <x v="14"/>
    <n v="15180"/>
  </r>
  <r>
    <x v="42"/>
    <x v="43"/>
    <x v="8"/>
    <s v="E-1000 Eastern Market Wholesale"/>
    <x v="14"/>
    <n v="3278"/>
  </r>
  <r>
    <x v="45"/>
    <x v="44"/>
    <x v="8"/>
    <s v="R-1099 Rock Security "/>
    <x v="41"/>
    <n v="1575"/>
  </r>
  <r>
    <x v="46"/>
    <x v="95"/>
    <x v="9"/>
    <s v="TO BRING IN BALANCE AS PER TB PBC"/>
    <x v="42"/>
    <n v="24875.53"/>
  </r>
  <r>
    <x v="46"/>
    <x v="95"/>
    <x v="9"/>
    <s v="TO BRING IN BALANCE AS PER TB PBC"/>
    <x v="9"/>
    <n v="63334.97"/>
  </r>
  <r>
    <x v="46"/>
    <x v="95"/>
    <x v="9"/>
    <s v="TO BRING IN BALANCE AS PER TB PBC"/>
    <x v="30"/>
    <n v="2778.58"/>
  </r>
  <r>
    <x v="46"/>
    <x v="95"/>
    <x v="9"/>
    <s v="TO BRING IN BALANCE AS PER TB PBC"/>
    <x v="26"/>
    <n v="22661.040000000001"/>
  </r>
  <r>
    <x v="46"/>
    <x v="95"/>
    <x v="9"/>
    <s v="TO BRING IN BALANCE AS PER TB PBC"/>
    <x v="22"/>
    <n v="176.75"/>
  </r>
  <r>
    <x v="46"/>
    <x v="95"/>
    <x v="9"/>
    <s v="TO BRING IN BALANCE AS PER TB PBC"/>
    <x v="20"/>
    <n v="94233.04"/>
  </r>
  <r>
    <x v="46"/>
    <x v="95"/>
    <x v="9"/>
    <s v="TO BRING IN BALANCE AS PER TB PBC"/>
    <x v="5"/>
    <n v="16076.56"/>
  </r>
  <r>
    <x v="46"/>
    <x v="95"/>
    <x v="9"/>
    <s v="TO BRING IN BALANCE AS PER TB PBC"/>
    <x v="43"/>
    <n v="38349.980000000003"/>
  </r>
  <r>
    <x v="46"/>
    <x v="95"/>
    <x v="9"/>
    <s v="TO BRING IN BALANCE AS PER TB PBC"/>
    <x v="44"/>
    <n v="9931.6200000000008"/>
  </r>
  <r>
    <x v="46"/>
    <x v="95"/>
    <x v="9"/>
    <s v="TO BRING IN BALANCE AS PER TB PBC"/>
    <x v="6"/>
    <n v="62299"/>
  </r>
  <r>
    <x v="46"/>
    <x v="95"/>
    <x v="9"/>
    <s v="TO BRING IN BALANCE AS PER TB PBC"/>
    <x v="7"/>
    <n v="-39657"/>
  </r>
  <r>
    <x v="46"/>
    <x v="95"/>
    <x v="9"/>
    <s v="TO BRING IN BALANCE AS PER TB PBC"/>
    <x v="45"/>
    <n v="88951.72"/>
  </r>
  <r>
    <x v="46"/>
    <x v="95"/>
    <x v="9"/>
    <s v="TO BRING IN BALANCE AS PER TB PBC"/>
    <x v="46"/>
    <n v="-63486.54"/>
  </r>
  <r>
    <x v="46"/>
    <x v="95"/>
    <x v="9"/>
    <s v="TO BRING IN BALANCE AS PER TB PBC"/>
    <x v="47"/>
    <n v="907431.02"/>
  </r>
  <r>
    <x v="46"/>
    <x v="95"/>
    <x v="9"/>
    <s v="TO BRING IN BALANCE AS PER TB PBC"/>
    <x v="48"/>
    <n v="-637005.93000000005"/>
  </r>
  <r>
    <x v="46"/>
    <x v="95"/>
    <x v="9"/>
    <s v="TO BRING IN BALANCE AS PER TB PBC"/>
    <x v="49"/>
    <n v="874941.75"/>
  </r>
  <r>
    <x v="46"/>
    <x v="95"/>
    <x v="9"/>
    <s v="TO BRING IN BALANCE AS PER TB PBC"/>
    <x v="50"/>
    <n v="-503688.35"/>
  </r>
  <r>
    <x v="46"/>
    <x v="95"/>
    <x v="9"/>
    <s v="TO BRING IN BALANCE AS PER TB PBC"/>
    <x v="51"/>
    <n v="62250"/>
  </r>
  <r>
    <x v="46"/>
    <x v="95"/>
    <x v="9"/>
    <s v="TO BRING IN BALANCE AS PER TB PBC"/>
    <x v="52"/>
    <n v="-47550"/>
  </r>
  <r>
    <x v="46"/>
    <x v="95"/>
    <x v="9"/>
    <s v="TO BRING IN BALANCE AS PER TB PBC"/>
    <x v="53"/>
    <n v="-7713.65"/>
  </r>
  <r>
    <x v="46"/>
    <x v="95"/>
    <x v="9"/>
    <s v="TO BRING IN BALANCE AS PER TB PBC"/>
    <x v="54"/>
    <n v="-313475.81"/>
  </r>
  <r>
    <x v="46"/>
    <x v="95"/>
    <x v="9"/>
    <s v="TO BRING IN BALANCE AS PER TB PBC"/>
    <x v="36"/>
    <n v="97200.98"/>
  </r>
  <r>
    <x v="46"/>
    <x v="95"/>
    <x v="9"/>
    <s v="TO BRING IN BALANCE AS PER TB PBC"/>
    <x v="34"/>
    <n v="-16003.93"/>
  </r>
  <r>
    <x v="46"/>
    <x v="95"/>
    <x v="9"/>
    <s v="TO BRING IN BALANCE AS PER TB PBC"/>
    <x v="55"/>
    <n v="18284.12"/>
  </r>
  <r>
    <x v="46"/>
    <x v="95"/>
    <x v="9"/>
    <s v="TO BRING IN BALANCE AS PER TB PBC"/>
    <x v="4"/>
    <n v="-51912.51"/>
  </r>
  <r>
    <x v="46"/>
    <x v="95"/>
    <x v="9"/>
    <s v="TO BRING IN BALANCE AS PER TB PBC"/>
    <x v="56"/>
    <n v="318966.53999999998"/>
  </r>
  <r>
    <x v="46"/>
    <x v="95"/>
    <x v="9"/>
    <s v="TO BRING IN BALANCE AS PER TB PBC"/>
    <x v="57"/>
    <n v="87341.03"/>
  </r>
  <r>
    <x v="46"/>
    <x v="95"/>
    <x v="9"/>
    <s v="TO BRING IN BALANCE AS PER TB PBC"/>
    <x v="27"/>
    <n v="-160231.54999999999"/>
  </r>
  <r>
    <x v="46"/>
    <x v="95"/>
    <x v="9"/>
    <s v="TO BRING IN BALANCE AS PER TB PBC"/>
    <x v="58"/>
    <n v="-110400"/>
  </r>
  <r>
    <x v="46"/>
    <x v="95"/>
    <x v="9"/>
    <s v="TO BRING IN BALANCE AS PER TB PBC"/>
    <x v="59"/>
    <n v="-22464"/>
  </r>
  <r>
    <x v="46"/>
    <x v="95"/>
    <x v="9"/>
    <s v="TO BRING IN BALANCE AS PER TB PBC"/>
    <x v="60"/>
    <n v="-394110.85"/>
  </r>
  <r>
    <x v="47"/>
    <x v="96"/>
    <x v="10"/>
    <m/>
    <x v="61"/>
    <n v="110400"/>
  </r>
  <r>
    <x v="46"/>
    <x v="95"/>
    <x v="9"/>
    <s v="TO BRING IN BALANCE AS PER TB PBC"/>
    <x v="62"/>
    <n v="182989"/>
  </r>
  <r>
    <x v="46"/>
    <x v="95"/>
    <x v="9"/>
    <s v="TO BRING IN BALANCE AS PER TB PBC"/>
    <x v="63"/>
    <n v="-105"/>
  </r>
  <r>
    <x v="46"/>
    <x v="95"/>
    <x v="9"/>
    <s v="TO BRING IN BALANCE AS PER TB PBC"/>
    <x v="64"/>
    <n v="-628827.28"/>
  </r>
  <r>
    <x v="46"/>
    <x v="95"/>
    <x v="9"/>
    <s v="TO BRING IN BALANCE AS PER TB PBC"/>
    <x v="19"/>
    <n v="-5257237.03"/>
  </r>
  <r>
    <x v="46"/>
    <x v="95"/>
    <x v="9"/>
    <s v="TO BRING IN BALANCE AS PER TB PBC"/>
    <x v="65"/>
    <n v="-556439.68000000005"/>
  </r>
  <r>
    <x v="46"/>
    <x v="95"/>
    <x v="9"/>
    <s v="TO BRING IN BALANCE AS PER TB PBC"/>
    <x v="66"/>
    <n v="-445743.23"/>
  </r>
  <r>
    <x v="46"/>
    <x v="95"/>
    <x v="9"/>
    <s v="TO BRING IN BALANCE AS PER TB PBC"/>
    <x v="67"/>
    <n v="-380"/>
  </r>
  <r>
    <x v="46"/>
    <x v="95"/>
    <x v="9"/>
    <s v="TO BRING IN BALANCE AS PER TB PBC"/>
    <x v="68"/>
    <n v="19472.05"/>
  </r>
  <r>
    <x v="46"/>
    <x v="95"/>
    <x v="9"/>
    <s v="TO BRING IN BALANCE AS PER TB PBC"/>
    <x v="8"/>
    <n v="164563.54"/>
  </r>
  <r>
    <x v="46"/>
    <x v="95"/>
    <x v="9"/>
    <s v="TO BRING IN BALANCE AS PER TB PBC"/>
    <x v="69"/>
    <n v="1392350.47"/>
  </r>
  <r>
    <x v="46"/>
    <x v="95"/>
    <x v="9"/>
    <s v="TO BRING IN BALANCE AS PER TB PBC"/>
    <x v="70"/>
    <n v="160423.6"/>
  </r>
  <r>
    <x v="46"/>
    <x v="95"/>
    <x v="9"/>
    <s v="TO BRING IN BALANCE AS PER TB PBC"/>
    <x v="14"/>
    <n v="2019674.17"/>
  </r>
  <r>
    <x v="46"/>
    <x v="95"/>
    <x v="9"/>
    <s v="TO BRING IN BALANCE AS PER TB PBC"/>
    <x v="37"/>
    <n v="38957.58"/>
  </r>
  <r>
    <x v="46"/>
    <x v="95"/>
    <x v="9"/>
    <s v="TO BRING IN BALANCE AS PER TB PBC"/>
    <x v="32"/>
    <n v="185845.39"/>
  </r>
  <r>
    <x v="46"/>
    <x v="95"/>
    <x v="9"/>
    <s v="TO BRING IN BALANCE AS PER TB PBC"/>
    <x v="71"/>
    <n v="13851.27"/>
  </r>
  <r>
    <x v="46"/>
    <x v="95"/>
    <x v="9"/>
    <s v="TO BRING IN BALANCE AS PER TB PBC"/>
    <x v="72"/>
    <n v="213665.01"/>
  </r>
  <r>
    <x v="46"/>
    <x v="95"/>
    <x v="9"/>
    <s v="TO BRING IN BALANCE AS PER TB PBC"/>
    <x v="33"/>
    <n v="31671.1"/>
  </r>
  <r>
    <x v="46"/>
    <x v="95"/>
    <x v="9"/>
    <s v="TO BRING IN BALANCE AS PER TB PBC"/>
    <x v="73"/>
    <n v="8786.6"/>
  </r>
  <r>
    <x v="46"/>
    <x v="95"/>
    <x v="9"/>
    <s v="TO BRING IN BALANCE AS PER TB PBC"/>
    <x v="10"/>
    <n v="25442.31"/>
  </r>
  <r>
    <x v="46"/>
    <x v="95"/>
    <x v="9"/>
    <s v="TO BRING IN BALANCE AS PER TB PBC"/>
    <x v="74"/>
    <n v="33577.35"/>
  </r>
  <r>
    <x v="46"/>
    <x v="95"/>
    <x v="9"/>
    <s v="TO BRING IN BALANCE AS PER TB PBC"/>
    <x v="75"/>
    <n v="810542.21"/>
  </r>
  <r>
    <x v="46"/>
    <x v="95"/>
    <x v="9"/>
    <s v="TO BRING IN BALANCE AS PER TB PBC"/>
    <x v="76"/>
    <n v="105801.37"/>
  </r>
  <r>
    <x v="46"/>
    <x v="95"/>
    <x v="9"/>
    <s v="TO BRING IN BALANCE AS PER TB PBC"/>
    <x v="77"/>
    <n v="4802.34"/>
  </r>
  <r>
    <x v="46"/>
    <x v="95"/>
    <x v="9"/>
    <s v="TO BRING IN BALANCE AS PER TB PBC"/>
    <x v="78"/>
    <n v="21450.46"/>
  </r>
  <r>
    <x v="46"/>
    <x v="95"/>
    <x v="9"/>
    <s v="TO BRING IN BALANCE AS PER TB PBC"/>
    <x v="13"/>
    <n v="282585.46000000002"/>
  </r>
  <r>
    <x v="46"/>
    <x v="95"/>
    <x v="9"/>
    <s v="TO BRING IN BALANCE AS PER TB PBC"/>
    <x v="79"/>
    <n v="24628.83"/>
  </r>
  <r>
    <x v="46"/>
    <x v="95"/>
    <x v="9"/>
    <s v="TO BRING IN BALANCE AS PER TB PBC"/>
    <x v="12"/>
    <n v="85851.81"/>
  </r>
  <r>
    <x v="46"/>
    <x v="95"/>
    <x v="9"/>
    <s v="TO BRING IN BALANCE AS PER TB PBC"/>
    <x v="41"/>
    <n v="7841.58"/>
  </r>
  <r>
    <x v="46"/>
    <x v="95"/>
    <x v="9"/>
    <s v="TO BRING IN BALANCE AS PER TB PBC"/>
    <x v="40"/>
    <n v="74445.929999999993"/>
  </r>
  <r>
    <x v="46"/>
    <x v="95"/>
    <x v="9"/>
    <s v="TO BRING IN BALANCE AS PER TB PBC"/>
    <x v="80"/>
    <n v="1904.57"/>
  </r>
  <r>
    <x v="46"/>
    <x v="95"/>
    <x v="9"/>
    <s v="TO BRING IN BALANCE AS PER TB PBC"/>
    <x v="81"/>
    <n v="83609.789999999994"/>
  </r>
  <r>
    <x v="46"/>
    <x v="95"/>
    <x v="9"/>
    <s v="TO BRING IN BALANCE AS PER TB PBC"/>
    <x v="82"/>
    <n v="31717.71"/>
  </r>
  <r>
    <x v="46"/>
    <x v="95"/>
    <x v="9"/>
    <s v="TO BRING IN BALANCE AS PER TB PBC"/>
    <x v="38"/>
    <n v="16866"/>
  </r>
  <r>
    <x v="46"/>
    <x v="95"/>
    <x v="9"/>
    <s v="TO BRING IN BALANCE AS PER TB PBC"/>
    <x v="83"/>
    <n v="19899.5"/>
  </r>
  <r>
    <x v="46"/>
    <x v="95"/>
    <x v="9"/>
    <s v="TO BRING IN BALANCE AS PER TB PBC"/>
    <x v="84"/>
    <n v="15290.11"/>
  </r>
  <r>
    <x v="46"/>
    <x v="95"/>
    <x v="9"/>
    <s v="TO BRING IN BALANCE AS PER TB PBC"/>
    <x v="16"/>
    <n v="28484.19"/>
  </r>
  <r>
    <x v="46"/>
    <x v="95"/>
    <x v="9"/>
    <s v="TO BRING IN BALANCE AS PER TB PBC"/>
    <x v="85"/>
    <n v="52201.16"/>
  </r>
  <r>
    <x v="46"/>
    <x v="95"/>
    <x v="9"/>
    <s v="TO BRING IN BALANCE AS PER TB PBC"/>
    <x v="86"/>
    <n v="5863.99"/>
  </r>
  <r>
    <x v="46"/>
    <x v="95"/>
    <x v="9"/>
    <s v="TO BRING IN BALANCE AS PER TB PBC"/>
    <x v="87"/>
    <n v="5697.21"/>
  </r>
  <r>
    <x v="46"/>
    <x v="95"/>
    <x v="9"/>
    <s v="TO BRING IN BALANCE AS PER TB PBC"/>
    <x v="88"/>
    <n v="42390.98"/>
  </r>
  <r>
    <x v="46"/>
    <x v="95"/>
    <x v="9"/>
    <s v="TO BRING IN BALANCE AS PER TB PBC"/>
    <x v="89"/>
    <n v="5116.1899999999996"/>
  </r>
  <r>
    <x v="46"/>
    <x v="95"/>
    <x v="9"/>
    <s v="TO BRING IN BALANCE AS PER TB PBC"/>
    <x v="90"/>
    <n v="14278.39"/>
  </r>
  <r>
    <x v="46"/>
    <x v="95"/>
    <x v="9"/>
    <s v="TO BRING IN BALANCE AS PER TB PBC"/>
    <x v="91"/>
    <n v="14476.64"/>
  </r>
  <r>
    <x v="46"/>
    <x v="95"/>
    <x v="9"/>
    <s v="TO BRING IN BALANCE AS PER TB PBC"/>
    <x v="92"/>
    <n v="14833.25"/>
  </r>
  <r>
    <x v="46"/>
    <x v="95"/>
    <x v="9"/>
    <s v="TO BRING IN BALANCE AS PER TB PBC"/>
    <x v="93"/>
    <n v="26138.959999999999"/>
  </r>
  <r>
    <x v="46"/>
    <x v="95"/>
    <x v="9"/>
    <s v="TO BRING IN BALANCE AS PER TB PBC"/>
    <x v="94"/>
    <n v="27820.74"/>
  </r>
  <r>
    <x v="46"/>
    <x v="95"/>
    <x v="9"/>
    <s v="TO BRING IN BALANCE AS PER TB PBC"/>
    <x v="95"/>
    <n v="13549.38"/>
  </r>
  <r>
    <x v="46"/>
    <x v="95"/>
    <x v="9"/>
    <s v="TO BRING IN BALANCE AS PER TB PBC"/>
    <x v="96"/>
    <n v="6931.72"/>
  </r>
  <r>
    <x v="46"/>
    <x v="95"/>
    <x v="9"/>
    <s v="TO BRING IN BALANCE AS PER TB PBC"/>
    <x v="97"/>
    <n v="12131.08"/>
  </r>
  <r>
    <x v="46"/>
    <x v="95"/>
    <x v="9"/>
    <s v="TO BRING IN BALANCE AS PER TB PBC"/>
    <x v="98"/>
    <n v="7527.1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2CE7CB2-B085-4595-831A-EBE7313894F7}" name="TB_PT" cacheId="0" applyNumberFormats="0" applyBorderFormats="0" applyFontFormats="0" applyPatternFormats="0" applyAlignmentFormats="0" applyWidthHeightFormats="1" dataCaption="Values" updatedVersion="8" minRefreshableVersion="3" showDrill="0" useAutoFormatting="1" itemPrintTitles="1" createdVersion="8" indent="0" compact="0" compactData="0" multipleFieldFilters="0" fieldListSortAscending="1">
  <location ref="B8:C108" firstHeaderRow="1" firstDataRow="1" firstDataCol="1"/>
  <pivotFields count="6">
    <pivotField compact="0" outline="0" showAll="0" defaultSubtotal="0"/>
    <pivotField compact="0" outline="0" showAll="0" defaultSubtotal="0"/>
    <pivotField compact="0" outline="0" showAll="0" defaultSubtotal="0"/>
    <pivotField compact="0" outline="0" showAll="0" defaultSubtotal="0"/>
    <pivotField axis="axisRow" compact="0" outline="0" showAll="0" sortType="ascending">
      <items count="198">
        <item x="42"/>
        <item x="9"/>
        <item m="1" x="126"/>
        <item x="24"/>
        <item m="1" x="186"/>
        <item x="30"/>
        <item m="1" x="184"/>
        <item m="1" x="185"/>
        <item m="1" x="187"/>
        <item x="22"/>
        <item x="26"/>
        <item m="1" x="182"/>
        <item m="1" x="183"/>
        <item x="20"/>
        <item x="0"/>
        <item x="17"/>
        <item m="1" x="188"/>
        <item x="5"/>
        <item m="1" x="190"/>
        <item m="1" x="127"/>
        <item m="1" x="128"/>
        <item m="1" x="195"/>
        <item m="1" x="189"/>
        <item m="1" x="196"/>
        <item m="1" x="129"/>
        <item x="43"/>
        <item x="44"/>
        <item m="1" x="159"/>
        <item m="1" x="165"/>
        <item m="1" x="154"/>
        <item m="1" x="130"/>
        <item m="1" x="131"/>
        <item x="6"/>
        <item x="7"/>
        <item m="1" x="115"/>
        <item x="45"/>
        <item x="46"/>
        <item x="47"/>
        <item x="48"/>
        <item x="49"/>
        <item m="1" x="111"/>
        <item x="50"/>
        <item m="1" x="112"/>
        <item x="51"/>
        <item x="52"/>
        <item x="11"/>
        <item m="1" x="104"/>
        <item x="53"/>
        <item x="54"/>
        <item m="1" x="116"/>
        <item x="36"/>
        <item x="34"/>
        <item m="1" x="119"/>
        <item x="35"/>
        <item m="1" x="113"/>
        <item m="1" x="132"/>
        <item x="55"/>
        <item x="4"/>
        <item m="1" x="99"/>
        <item x="18"/>
        <item m="1" x="191"/>
        <item x="56"/>
        <item m="1" x="105"/>
        <item x="57"/>
        <item x="27"/>
        <item m="1" x="109"/>
        <item m="1" x="176"/>
        <item x="58"/>
        <item m="1" x="193"/>
        <item x="59"/>
        <item m="1" x="192"/>
        <item m="1" x="114"/>
        <item m="1" x="194"/>
        <item x="60"/>
        <item m="1" x="160"/>
        <item x="61"/>
        <item x="62"/>
        <item m="1" x="133"/>
        <item x="63"/>
        <item x="64"/>
        <item m="1" x="125"/>
        <item m="1" x="169"/>
        <item x="19"/>
        <item x="65"/>
        <item x="25"/>
        <item x="66"/>
        <item x="67"/>
        <item x="68"/>
        <item m="1" x="156"/>
        <item m="1" x="177"/>
        <item m="1" x="170"/>
        <item m="1" x="157"/>
        <item m="1" x="178"/>
        <item x="29"/>
        <item m="1" x="134"/>
        <item x="31"/>
        <item x="21"/>
        <item x="23"/>
        <item m="1" x="167"/>
        <item x="1"/>
        <item m="1" x="110"/>
        <item x="2"/>
        <item m="1" x="166"/>
        <item m="1" x="135"/>
        <item x="28"/>
        <item m="1" x="122"/>
        <item x="39"/>
        <item x="15"/>
        <item m="1" x="101"/>
        <item x="8"/>
        <item m="1" x="117"/>
        <item m="1" x="118"/>
        <item m="1" x="136"/>
        <item m="1" x="137"/>
        <item m="1" x="138"/>
        <item m="1" x="141"/>
        <item m="1" x="139"/>
        <item m="1" x="140"/>
        <item x="69"/>
        <item x="70"/>
        <item m="1" x="146"/>
        <item m="1" x="168"/>
        <item m="1" x="121"/>
        <item x="14"/>
        <item m="1" x="180"/>
        <item m="1" x="142"/>
        <item m="1" x="143"/>
        <item m="1" x="144"/>
        <item m="1" x="179"/>
        <item m="1" x="145"/>
        <item x="37"/>
        <item m="1" x="151"/>
        <item m="1" x="163"/>
        <item m="1" x="152"/>
        <item m="1" x="172"/>
        <item m="1" x="173"/>
        <item m="1" x="147"/>
        <item m="1" x="148"/>
        <item m="1" x="164"/>
        <item m="1" x="120"/>
        <item m="1" x="174"/>
        <item m="1" x="150"/>
        <item m="1" x="171"/>
        <item m="1" x="149"/>
        <item x="32"/>
        <item x="71"/>
        <item x="72"/>
        <item x="33"/>
        <item x="73"/>
        <item x="10"/>
        <item x="74"/>
        <item x="75"/>
        <item x="76"/>
        <item x="77"/>
        <item x="78"/>
        <item x="13"/>
        <item x="79"/>
        <item x="12"/>
        <item x="41"/>
        <item m="1" x="108"/>
        <item x="40"/>
        <item x="80"/>
        <item x="81"/>
        <item m="1" x="107"/>
        <item x="82"/>
        <item m="1" x="100"/>
        <item x="38"/>
        <item m="1" x="102"/>
        <item x="83"/>
        <item m="1" x="103"/>
        <item x="84"/>
        <item x="16"/>
        <item x="85"/>
        <item x="86"/>
        <item x="87"/>
        <item x="88"/>
        <item x="89"/>
        <item x="90"/>
        <item x="91"/>
        <item x="92"/>
        <item m="1" x="106"/>
        <item x="93"/>
        <item x="94"/>
        <item x="95"/>
        <item x="96"/>
        <item x="97"/>
        <item x="98"/>
        <item m="1" x="162"/>
        <item x="3"/>
        <item m="1" x="124"/>
        <item m="1" x="161"/>
        <item m="1" x="153"/>
        <item m="1" x="123"/>
        <item m="1" x="181"/>
        <item m="1" x="155"/>
        <item m="1" x="158"/>
        <item m="1" x="175"/>
        <item t="default"/>
      </items>
    </pivotField>
    <pivotField dataField="1" compact="0" outline="0" showAll="0" defaultSubtotal="0"/>
  </pivotFields>
  <rowFields count="1">
    <field x="4"/>
  </rowFields>
  <rowItems count="100">
    <i>
      <x/>
    </i>
    <i>
      <x v="1"/>
    </i>
    <i>
      <x v="3"/>
    </i>
    <i>
      <x v="5"/>
    </i>
    <i>
      <x v="9"/>
    </i>
    <i>
      <x v="10"/>
    </i>
    <i>
      <x v="13"/>
    </i>
    <i>
      <x v="14"/>
    </i>
    <i>
      <x v="15"/>
    </i>
    <i>
      <x v="17"/>
    </i>
    <i>
      <x v="25"/>
    </i>
    <i>
      <x v="26"/>
    </i>
    <i>
      <x v="32"/>
    </i>
    <i>
      <x v="33"/>
    </i>
    <i>
      <x v="35"/>
    </i>
    <i>
      <x v="36"/>
    </i>
    <i>
      <x v="37"/>
    </i>
    <i>
      <x v="38"/>
    </i>
    <i>
      <x v="39"/>
    </i>
    <i>
      <x v="41"/>
    </i>
    <i>
      <x v="43"/>
    </i>
    <i>
      <x v="44"/>
    </i>
    <i>
      <x v="45"/>
    </i>
    <i>
      <x v="47"/>
    </i>
    <i>
      <x v="48"/>
    </i>
    <i>
      <x v="50"/>
    </i>
    <i>
      <x v="51"/>
    </i>
    <i>
      <x v="53"/>
    </i>
    <i>
      <x v="56"/>
    </i>
    <i>
      <x v="57"/>
    </i>
    <i>
      <x v="59"/>
    </i>
    <i>
      <x v="61"/>
    </i>
    <i>
      <x v="63"/>
    </i>
    <i>
      <x v="64"/>
    </i>
    <i>
      <x v="67"/>
    </i>
    <i>
      <x v="69"/>
    </i>
    <i>
      <x v="73"/>
    </i>
    <i>
      <x v="75"/>
    </i>
    <i>
      <x v="76"/>
    </i>
    <i>
      <x v="78"/>
    </i>
    <i>
      <x v="79"/>
    </i>
    <i>
      <x v="82"/>
    </i>
    <i>
      <x v="83"/>
    </i>
    <i>
      <x v="84"/>
    </i>
    <i>
      <x v="85"/>
    </i>
    <i>
      <x v="86"/>
    </i>
    <i>
      <x v="87"/>
    </i>
    <i>
      <x v="93"/>
    </i>
    <i>
      <x v="95"/>
    </i>
    <i>
      <x v="96"/>
    </i>
    <i>
      <x v="97"/>
    </i>
    <i>
      <x v="99"/>
    </i>
    <i>
      <x v="101"/>
    </i>
    <i>
      <x v="104"/>
    </i>
    <i>
      <x v="106"/>
    </i>
    <i>
      <x v="107"/>
    </i>
    <i>
      <x v="109"/>
    </i>
    <i>
      <x v="118"/>
    </i>
    <i>
      <x v="119"/>
    </i>
    <i>
      <x v="123"/>
    </i>
    <i>
      <x v="130"/>
    </i>
    <i>
      <x v="144"/>
    </i>
    <i>
      <x v="145"/>
    </i>
    <i>
      <x v="146"/>
    </i>
    <i>
      <x v="147"/>
    </i>
    <i>
      <x v="148"/>
    </i>
    <i>
      <x v="149"/>
    </i>
    <i>
      <x v="150"/>
    </i>
    <i>
      <x v="151"/>
    </i>
    <i>
      <x v="152"/>
    </i>
    <i>
      <x v="153"/>
    </i>
    <i>
      <x v="154"/>
    </i>
    <i>
      <x v="155"/>
    </i>
    <i>
      <x v="156"/>
    </i>
    <i>
      <x v="157"/>
    </i>
    <i>
      <x v="158"/>
    </i>
    <i>
      <x v="160"/>
    </i>
    <i>
      <x v="161"/>
    </i>
    <i>
      <x v="162"/>
    </i>
    <i>
      <x v="164"/>
    </i>
    <i>
      <x v="166"/>
    </i>
    <i>
      <x v="168"/>
    </i>
    <i>
      <x v="170"/>
    </i>
    <i>
      <x v="171"/>
    </i>
    <i>
      <x v="172"/>
    </i>
    <i>
      <x v="173"/>
    </i>
    <i>
      <x v="174"/>
    </i>
    <i>
      <x v="175"/>
    </i>
    <i>
      <x v="176"/>
    </i>
    <i>
      <x v="177"/>
    </i>
    <i>
      <x v="178"/>
    </i>
    <i>
      <x v="179"/>
    </i>
    <i>
      <x v="181"/>
    </i>
    <i>
      <x v="182"/>
    </i>
    <i>
      <x v="183"/>
    </i>
    <i>
      <x v="184"/>
    </i>
    <i>
      <x v="185"/>
    </i>
    <i>
      <x v="186"/>
    </i>
    <i>
      <x v="188"/>
    </i>
    <i t="grand">
      <x/>
    </i>
  </rowItems>
  <colItems count="1">
    <i/>
  </colItems>
  <dataFields count="1">
    <dataField name="Sum of AMOUNT" fld="5" baseField="0" baseItem="0" numFmtId="40"/>
  </dataFields>
  <formats count="3">
    <format dxfId="341">
      <pivotArea outline="0" collapsedLevelsAreSubtotals="1" fieldPosition="0"/>
    </format>
    <format dxfId="340">
      <pivotArea dataOnly="0" labelOnly="1" outline="0" axis="axisValues" fieldPosition="0"/>
    </format>
    <format dxfId="339">
      <pivotArea outline="0" fieldPosition="0">
        <references count="1">
          <reference field="4" count="1" selected="0">
            <x v="65"/>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20830740-DEF5-4516-85DE-9ACAF39E7C75}" name="GEN_LEDGER" cacheId="0" applyNumberFormats="0" applyBorderFormats="0" applyFontFormats="0" applyPatternFormats="0" applyAlignmentFormats="0" applyWidthHeightFormats="1" dataCaption="Values" updatedVersion="8" minRefreshableVersion="3" showDrill="0" useAutoFormatting="1" itemPrintTitles="1" createdVersion="8" indent="0" compact="0" compactData="0" multipleFieldFilters="0" fieldListSortAscending="1">
  <location ref="B9:F320" firstHeaderRow="1" firstDataRow="1" firstDataCol="4"/>
  <pivotFields count="6">
    <pivotField axis="axisRow" compact="0" outline="0" showAll="0" defaultSubtotal="0">
      <items count="99">
        <item m="1" x="56"/>
        <item x="46"/>
        <item x="1"/>
        <item x="11"/>
        <item x="3"/>
        <item x="4"/>
        <item x="5"/>
        <item x="6"/>
        <item x="7"/>
        <item x="8"/>
        <item m="1" x="57"/>
        <item x="23"/>
        <item m="1" x="58"/>
        <item m="1" x="59"/>
        <item m="1" x="60"/>
        <item x="17"/>
        <item m="1" x="61"/>
        <item x="45"/>
        <item m="1" x="62"/>
        <item m="1" x="63"/>
        <item m="1" x="64"/>
        <item x="15"/>
        <item m="1" x="65"/>
        <item x="12"/>
        <item x="13"/>
        <item x="14"/>
        <item m="1" x="95"/>
        <item m="1" x="52"/>
        <item m="1" x="53"/>
        <item m="1" x="54"/>
        <item m="1" x="98"/>
        <item x="16"/>
        <item x="18"/>
        <item m="1" x="69"/>
        <item m="1" x="67"/>
        <item m="1" x="68"/>
        <item m="1" x="97"/>
        <item m="1" x="96"/>
        <item m="1" x="94"/>
        <item x="21"/>
        <item m="1" x="70"/>
        <item m="1" x="71"/>
        <item x="25"/>
        <item m="1" x="72"/>
        <item m="1" x="73"/>
        <item m="1" x="74"/>
        <item x="26"/>
        <item x="27"/>
        <item x="28"/>
        <item m="1" x="75"/>
        <item x="29"/>
        <item m="1" x="76"/>
        <item m="1" x="77"/>
        <item m="1" x="78"/>
        <item m="1" x="79"/>
        <item x="30"/>
        <item x="31"/>
        <item m="1" x="80"/>
        <item x="33"/>
        <item m="1" x="81"/>
        <item m="1" x="82"/>
        <item m="1" x="83"/>
        <item m="1" x="84"/>
        <item m="1" x="85"/>
        <item m="1" x="86"/>
        <item m="1" x="87"/>
        <item m="1" x="88"/>
        <item x="38"/>
        <item m="1" x="89"/>
        <item m="1" x="90"/>
        <item m="1" x="91"/>
        <item m="1" x="92"/>
        <item m="1" x="93"/>
        <item m="1" x="66"/>
        <item x="9"/>
        <item x="22"/>
        <item x="24"/>
        <item m="1" x="55"/>
        <item x="20"/>
        <item x="41"/>
        <item x="42"/>
        <item m="1" x="51"/>
        <item m="1" x="50"/>
        <item x="0"/>
        <item x="32"/>
        <item x="34"/>
        <item x="35"/>
        <item x="36"/>
        <item x="37"/>
        <item x="39"/>
        <item x="40"/>
        <item m="1" x="49"/>
        <item x="19"/>
        <item x="47"/>
        <item m="1" x="48"/>
        <item x="43"/>
        <item x="44"/>
        <item x="2"/>
        <item x="10"/>
      </items>
    </pivotField>
    <pivotField axis="axisRow" compact="0" outline="0" showAll="0" defaultSubtotal="0">
      <items count="263">
        <item m="1" x="98"/>
        <item x="95"/>
        <item m="1" x="99"/>
        <item m="1" x="100"/>
        <item m="1" x="101"/>
        <item m="1" x="102"/>
        <item m="1" x="103"/>
        <item m="1" x="104"/>
        <item m="1" x="105"/>
        <item m="1" x="132"/>
        <item m="1" x="133"/>
        <item m="1" x="134"/>
        <item m="1" x="135"/>
        <item m="1" x="136"/>
        <item m="1" x="137"/>
        <item m="1" x="138"/>
        <item m="1" x="139"/>
        <item m="1" x="140"/>
        <item m="1" x="141"/>
        <item m="1" x="142"/>
        <item m="1" x="143"/>
        <item m="1" x="144"/>
        <item m="1" x="145"/>
        <item m="1" x="146"/>
        <item m="1" x="106"/>
        <item m="1" x="108"/>
        <item m="1" x="109"/>
        <item m="1" x="110"/>
        <item m="1" x="111"/>
        <item m="1" x="260"/>
        <item m="1" x="112"/>
        <item m="1" x="113"/>
        <item m="1" x="114"/>
        <item m="1" x="107"/>
        <item m="1" x="259"/>
        <item m="1" x="122"/>
        <item m="1" x="123"/>
        <item m="1" x="125"/>
        <item m="1" x="124"/>
        <item m="1" x="126"/>
        <item m="1" x="127"/>
        <item m="1" x="128"/>
        <item m="1" x="129"/>
        <item m="1" x="130"/>
        <item m="1" x="131"/>
        <item m="1" x="115"/>
        <item m="1" x="116"/>
        <item m="1" x="97"/>
        <item m="1" x="117"/>
        <item m="1" x="118"/>
        <item m="1" x="119"/>
        <item m="1" x="120"/>
        <item m="1" x="121"/>
        <item x="18"/>
        <item x="19"/>
        <item x="20"/>
        <item x="21"/>
        <item m="1" x="261"/>
        <item m="1" x="147"/>
        <item m="1" x="148"/>
        <item m="1" x="149"/>
        <item m="1" x="150"/>
        <item m="1" x="151"/>
        <item m="1" x="152"/>
        <item m="1" x="153"/>
        <item m="1" x="262"/>
        <item x="22"/>
        <item x="23"/>
        <item x="24"/>
        <item x="25"/>
        <item x="26"/>
        <item x="27"/>
        <item x="28"/>
        <item x="29"/>
        <item x="30"/>
        <item x="31"/>
        <item x="32"/>
        <item x="33"/>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m="1" x="154"/>
        <item m="1" x="155"/>
        <item m="1" x="156"/>
        <item m="1" x="157"/>
        <item m="1" x="158"/>
        <item m="1" x="159"/>
        <item m="1" x="160"/>
        <item m="1" x="161"/>
        <item m="1" x="162"/>
        <item m="1" x="163"/>
        <item m="1" x="164"/>
        <item m="1" x="165"/>
        <item m="1" x="166"/>
        <item m="1" x="167"/>
        <item m="1" x="168"/>
        <item m="1" x="169"/>
        <item m="1" x="170"/>
        <item m="1" x="171"/>
        <item m="1" x="172"/>
        <item m="1" x="173"/>
        <item m="1" x="174"/>
        <item m="1" x="175"/>
        <item m="1" x="176"/>
        <item m="1" x="177"/>
        <item m="1" x="178"/>
        <item m="1" x="179"/>
        <item m="1" x="180"/>
        <item m="1" x="181"/>
        <item m="1" x="182"/>
        <item m="1" x="183"/>
        <item m="1" x="184"/>
        <item m="1" x="185"/>
        <item m="1" x="186"/>
        <item m="1" x="187"/>
        <item m="1" x="188"/>
        <item m="1" x="189"/>
        <item m="1" x="190"/>
        <item m="1" x="191"/>
        <item m="1" x="192"/>
        <item m="1" x="193"/>
        <item m="1" x="194"/>
        <item m="1" x="195"/>
        <item m="1" x="196"/>
        <item m="1" x="197"/>
        <item m="1" x="198"/>
        <item m="1" x="199"/>
        <item m="1" x="200"/>
        <item m="1" x="201"/>
        <item m="1" x="202"/>
        <item m="1" x="203"/>
        <item m="1" x="204"/>
        <item m="1" x="205"/>
        <item m="1" x="206"/>
        <item m="1" x="207"/>
        <item m="1" x="208"/>
        <item m="1" x="209"/>
        <item m="1" x="210"/>
        <item m="1" x="211"/>
        <item m="1" x="212"/>
        <item m="1" x="213"/>
        <item m="1" x="214"/>
        <item m="1" x="215"/>
        <item m="1" x="216"/>
        <item m="1" x="217"/>
        <item m="1" x="218"/>
        <item m="1" x="219"/>
        <item m="1" x="220"/>
        <item m="1" x="221"/>
        <item m="1" x="222"/>
        <item m="1" x="223"/>
        <item m="1" x="224"/>
        <item m="1" x="225"/>
        <item m="1" x="226"/>
        <item m="1" x="227"/>
        <item m="1" x="228"/>
        <item m="1" x="229"/>
        <item m="1" x="230"/>
        <item m="1" x="231"/>
        <item m="1" x="232"/>
        <item m="1" x="233"/>
        <item m="1" x="234"/>
        <item m="1" x="235"/>
        <item m="1" x="236"/>
        <item m="1" x="237"/>
        <item m="1" x="238"/>
        <item m="1" x="239"/>
        <item m="1" x="240"/>
        <item m="1" x="241"/>
        <item m="1" x="242"/>
        <item m="1" x="243"/>
        <item m="1" x="244"/>
        <item m="1" x="245"/>
        <item m="1" x="246"/>
        <item m="1" x="247"/>
        <item m="1" x="248"/>
        <item m="1" x="249"/>
        <item m="1" x="250"/>
        <item m="1" x="251"/>
        <item m="1" x="252"/>
        <item m="1" x="253"/>
        <item m="1" x="254"/>
        <item m="1" x="255"/>
        <item m="1" x="256"/>
        <item m="1" x="257"/>
        <item m="1" x="258"/>
        <item x="34"/>
        <item x="35"/>
        <item x="36"/>
        <item x="37"/>
        <item x="41"/>
        <item x="42"/>
        <item x="38"/>
        <item x="39"/>
        <item x="40"/>
        <item x="86"/>
        <item x="94"/>
        <item x="0"/>
        <item x="96"/>
        <item x="14"/>
        <item x="15"/>
        <item x="4"/>
        <item x="5"/>
        <item x="6"/>
        <item x="7"/>
        <item x="8"/>
        <item x="9"/>
        <item x="10"/>
        <item x="13"/>
        <item x="3"/>
        <item x="87"/>
        <item x="88"/>
        <item x="89"/>
        <item x="90"/>
        <item x="91"/>
        <item x="92"/>
        <item x="93"/>
        <item x="11"/>
        <item x="12"/>
        <item x="16"/>
        <item x="17"/>
        <item x="1"/>
        <item x="2"/>
      </items>
    </pivotField>
    <pivotField axis="axisRow" compact="0" outline="0" showAll="0" defaultSubtotal="0">
      <items count="12">
        <item x="9"/>
        <item x="1"/>
        <item x="2"/>
        <item x="0"/>
        <item x="3"/>
        <item x="4"/>
        <item x="5"/>
        <item m="1" x="11"/>
        <item x="6"/>
        <item x="7"/>
        <item x="8"/>
        <item x="10"/>
      </items>
    </pivotField>
    <pivotField compact="0" outline="0" showAll="0" defaultSubtotal="0"/>
    <pivotField axis="axisRow" compact="0" outline="0" showAll="0" sortType="ascending">
      <items count="198">
        <item x="42"/>
        <item x="9"/>
        <item m="1" x="126"/>
        <item x="24"/>
        <item m="1" x="186"/>
        <item x="30"/>
        <item m="1" x="184"/>
        <item m="1" x="185"/>
        <item m="1" x="187"/>
        <item x="22"/>
        <item x="26"/>
        <item m="1" x="182"/>
        <item m="1" x="183"/>
        <item x="20"/>
        <item x="0"/>
        <item x="17"/>
        <item m="1" x="188"/>
        <item x="5"/>
        <item m="1" x="190"/>
        <item m="1" x="127"/>
        <item m="1" x="128"/>
        <item m="1" x="195"/>
        <item m="1" x="189"/>
        <item m="1" x="196"/>
        <item m="1" x="129"/>
        <item x="43"/>
        <item x="44"/>
        <item m="1" x="159"/>
        <item m="1" x="165"/>
        <item m="1" x="154"/>
        <item m="1" x="130"/>
        <item m="1" x="131"/>
        <item x="6"/>
        <item x="7"/>
        <item m="1" x="115"/>
        <item x="45"/>
        <item x="46"/>
        <item x="47"/>
        <item x="48"/>
        <item x="49"/>
        <item m="1" x="111"/>
        <item x="50"/>
        <item m="1" x="112"/>
        <item x="51"/>
        <item x="52"/>
        <item x="11"/>
        <item m="1" x="104"/>
        <item x="53"/>
        <item x="54"/>
        <item m="1" x="116"/>
        <item x="36"/>
        <item x="34"/>
        <item m="1" x="119"/>
        <item x="35"/>
        <item m="1" x="113"/>
        <item m="1" x="132"/>
        <item x="55"/>
        <item x="4"/>
        <item m="1" x="99"/>
        <item x="18"/>
        <item m="1" x="191"/>
        <item x="56"/>
        <item m="1" x="105"/>
        <item x="57"/>
        <item x="27"/>
        <item m="1" x="109"/>
        <item m="1" x="176"/>
        <item x="58"/>
        <item m="1" x="193"/>
        <item x="59"/>
        <item m="1" x="192"/>
        <item m="1" x="114"/>
        <item m="1" x="194"/>
        <item x="60"/>
        <item m="1" x="160"/>
        <item x="61"/>
        <item x="62"/>
        <item m="1" x="133"/>
        <item x="63"/>
        <item x="64"/>
        <item m="1" x="125"/>
        <item m="1" x="169"/>
        <item x="19"/>
        <item x="65"/>
        <item x="25"/>
        <item x="66"/>
        <item x="67"/>
        <item x="68"/>
        <item m="1" x="156"/>
        <item m="1" x="177"/>
        <item m="1" x="170"/>
        <item m="1" x="157"/>
        <item m="1" x="178"/>
        <item x="29"/>
        <item m="1" x="134"/>
        <item x="31"/>
        <item x="21"/>
        <item x="23"/>
        <item m="1" x="167"/>
        <item x="1"/>
        <item m="1" x="110"/>
        <item x="2"/>
        <item m="1" x="166"/>
        <item m="1" x="135"/>
        <item x="28"/>
        <item m="1" x="122"/>
        <item x="39"/>
        <item x="15"/>
        <item m="1" x="101"/>
        <item x="8"/>
        <item m="1" x="117"/>
        <item m="1" x="118"/>
        <item m="1" x="136"/>
        <item m="1" x="137"/>
        <item m="1" x="138"/>
        <item m="1" x="141"/>
        <item m="1" x="139"/>
        <item m="1" x="140"/>
        <item x="69"/>
        <item x="70"/>
        <item m="1" x="146"/>
        <item m="1" x="168"/>
        <item m="1" x="121"/>
        <item x="14"/>
        <item m="1" x="180"/>
        <item m="1" x="142"/>
        <item m="1" x="143"/>
        <item m="1" x="144"/>
        <item m="1" x="179"/>
        <item m="1" x="145"/>
        <item x="37"/>
        <item m="1" x="151"/>
        <item m="1" x="163"/>
        <item m="1" x="152"/>
        <item m="1" x="172"/>
        <item m="1" x="173"/>
        <item m="1" x="147"/>
        <item m="1" x="148"/>
        <item m="1" x="164"/>
        <item m="1" x="120"/>
        <item m="1" x="174"/>
        <item m="1" x="150"/>
        <item m="1" x="171"/>
        <item m="1" x="149"/>
        <item x="32"/>
        <item x="71"/>
        <item x="72"/>
        <item x="33"/>
        <item x="73"/>
        <item x="10"/>
        <item x="74"/>
        <item x="75"/>
        <item x="76"/>
        <item x="77"/>
        <item x="78"/>
        <item x="13"/>
        <item x="79"/>
        <item x="12"/>
        <item x="41"/>
        <item m="1" x="108"/>
        <item x="40"/>
        <item x="80"/>
        <item x="81"/>
        <item m="1" x="107"/>
        <item x="82"/>
        <item m="1" x="100"/>
        <item x="38"/>
        <item m="1" x="102"/>
        <item x="83"/>
        <item m="1" x="103"/>
        <item x="84"/>
        <item x="16"/>
        <item x="85"/>
        <item x="86"/>
        <item x="87"/>
        <item x="88"/>
        <item x="89"/>
        <item x="90"/>
        <item x="91"/>
        <item x="92"/>
        <item m="1" x="106"/>
        <item x="93"/>
        <item x="94"/>
        <item x="95"/>
        <item x="96"/>
        <item x="97"/>
        <item x="98"/>
        <item m="1" x="162"/>
        <item x="3"/>
        <item m="1" x="124"/>
        <item m="1" x="161"/>
        <item m="1" x="153"/>
        <item m="1" x="123"/>
        <item m="1" x="181"/>
        <item m="1" x="155"/>
        <item m="1" x="158"/>
        <item m="1" x="175"/>
        <item t="default"/>
      </items>
    </pivotField>
    <pivotField dataField="1" compact="0" outline="0" showAll="0" defaultSubtotal="0"/>
  </pivotFields>
  <rowFields count="4">
    <field x="4"/>
    <field x="1"/>
    <field x="0"/>
    <field x="2"/>
  </rowFields>
  <rowItems count="311">
    <i>
      <x/>
      <x v="1"/>
      <x v="1"/>
      <x/>
    </i>
    <i t="default">
      <x/>
    </i>
    <i>
      <x v="1"/>
      <x v="1"/>
      <x v="1"/>
      <x/>
    </i>
    <i r="1">
      <x v="248"/>
      <x v="3"/>
      <x v="2"/>
    </i>
    <i r="1">
      <x v="249"/>
      <x v="97"/>
      <x v="1"/>
    </i>
    <i t="default">
      <x v="1"/>
    </i>
    <i>
      <x v="3"/>
      <x v="232"/>
      <x v="78"/>
      <x v="5"/>
    </i>
    <i r="3">
      <x v="6"/>
    </i>
    <i r="1">
      <x v="233"/>
      <x v="78"/>
      <x v="5"/>
    </i>
    <i r="3">
      <x v="6"/>
    </i>
    <i r="1">
      <x v="234"/>
      <x v="78"/>
      <x v="5"/>
    </i>
    <i r="3">
      <x v="6"/>
    </i>
    <i t="default">
      <x v="3"/>
    </i>
    <i>
      <x v="5"/>
      <x v="1"/>
      <x v="1"/>
      <x/>
    </i>
    <i r="1">
      <x v="226"/>
      <x v="3"/>
      <x v="6"/>
    </i>
    <i r="1">
      <x v="227"/>
      <x v="3"/>
      <x v="6"/>
    </i>
    <i t="default">
      <x v="5"/>
    </i>
    <i>
      <x v="9"/>
      <x v="1"/>
      <x v="1"/>
      <x/>
    </i>
    <i r="1">
      <x v="226"/>
      <x v="3"/>
      <x v="5"/>
    </i>
    <i r="1">
      <x v="227"/>
      <x v="3"/>
      <x v="5"/>
    </i>
    <i t="default">
      <x v="9"/>
    </i>
    <i>
      <x v="10"/>
      <x v="1"/>
      <x v="1"/>
      <x/>
    </i>
    <i r="1">
      <x v="68"/>
      <x v="75"/>
      <x v="6"/>
    </i>
    <i r="1">
      <x v="76"/>
      <x v="42"/>
      <x v="6"/>
    </i>
    <i r="1">
      <x v="78"/>
      <x v="46"/>
      <x v="6"/>
    </i>
    <i r="1">
      <x v="79"/>
      <x v="46"/>
      <x v="6"/>
    </i>
    <i r="1">
      <x v="82"/>
      <x v="47"/>
      <x v="6"/>
    </i>
    <i r="1">
      <x v="83"/>
      <x v="47"/>
      <x v="6"/>
    </i>
    <i r="1">
      <x v="85"/>
      <x v="48"/>
      <x v="6"/>
    </i>
    <i r="1">
      <x v="90"/>
      <x v="50"/>
      <x v="6"/>
    </i>
    <i r="1">
      <x v="93"/>
      <x v="7"/>
      <x v="6"/>
    </i>
    <i r="1">
      <x v="96"/>
      <x v="56"/>
      <x v="6"/>
    </i>
    <i r="1">
      <x v="98"/>
      <x v="84"/>
      <x v="6"/>
    </i>
    <i r="1">
      <x v="105"/>
      <x v="87"/>
      <x v="6"/>
    </i>
    <i r="1">
      <x v="107"/>
      <x v="67"/>
      <x v="6"/>
    </i>
    <i r="1">
      <x v="110"/>
      <x v="67"/>
      <x v="6"/>
    </i>
    <i r="1">
      <x v="111"/>
      <x v="67"/>
      <x v="6"/>
    </i>
    <i r="1">
      <x v="114"/>
      <x v="90"/>
      <x v="6"/>
    </i>
    <i r="1">
      <x v="116"/>
      <x v="89"/>
      <x v="6"/>
    </i>
    <i r="1">
      <x v="119"/>
      <x v="89"/>
      <x v="6"/>
    </i>
    <i r="1">
      <x v="229"/>
      <x v="3"/>
      <x v="6"/>
    </i>
    <i r="1">
      <x v="231"/>
      <x v="39"/>
      <x v="6"/>
    </i>
    <i t="default">
      <x v="10"/>
    </i>
    <i>
      <x v="13"/>
      <x v="1"/>
      <x v="1"/>
      <x/>
    </i>
    <i r="1">
      <x v="66"/>
      <x v="6"/>
      <x v="5"/>
    </i>
    <i r="1">
      <x v="67"/>
      <x v="6"/>
      <x v="5"/>
    </i>
    <i r="1">
      <x v="73"/>
      <x v="92"/>
      <x v="5"/>
    </i>
    <i r="1">
      <x v="74"/>
      <x v="92"/>
      <x v="5"/>
    </i>
    <i r="1">
      <x v="75"/>
      <x v="92"/>
      <x v="5"/>
    </i>
    <i r="1">
      <x v="76"/>
      <x v="92"/>
      <x v="5"/>
    </i>
    <i r="1">
      <x v="77"/>
      <x v="92"/>
      <x v="5"/>
    </i>
    <i r="1">
      <x v="229"/>
      <x v="3"/>
      <x v="5"/>
    </i>
    <i t="default">
      <x v="13"/>
    </i>
    <i>
      <x v="14"/>
      <x v="84"/>
      <x v="8"/>
      <x v="6"/>
    </i>
    <i r="1">
      <x v="237"/>
      <x v="83"/>
      <x v="3"/>
    </i>
    <i t="default">
      <x v="14"/>
    </i>
    <i>
      <x v="15"/>
      <x v="239"/>
      <x v="23"/>
      <x v="2"/>
    </i>
    <i r="1">
      <x v="240"/>
      <x v="24"/>
      <x v="2"/>
    </i>
    <i r="1">
      <x v="241"/>
      <x v="25"/>
      <x v="2"/>
    </i>
    <i r="1">
      <x v="259"/>
      <x v="97"/>
      <x v="4"/>
    </i>
    <i t="default">
      <x v="15"/>
    </i>
    <i>
      <x v="17"/>
      <x v="1"/>
      <x v="1"/>
      <x/>
    </i>
    <i r="1">
      <x v="261"/>
      <x v="2"/>
      <x v="3"/>
    </i>
    <i t="default">
      <x v="17"/>
    </i>
    <i>
      <x v="25"/>
      <x v="1"/>
      <x v="1"/>
      <x/>
    </i>
    <i t="default">
      <x v="25"/>
    </i>
    <i>
      <x v="26"/>
      <x v="1"/>
      <x v="1"/>
      <x/>
    </i>
    <i t="default">
      <x v="26"/>
    </i>
    <i>
      <x v="32"/>
      <x v="1"/>
      <x v="1"/>
      <x/>
    </i>
    <i r="1">
      <x v="261"/>
      <x v="2"/>
      <x v="3"/>
    </i>
    <i t="default">
      <x v="32"/>
    </i>
    <i>
      <x v="33"/>
      <x v="1"/>
      <x v="1"/>
      <x/>
    </i>
    <i r="1">
      <x v="261"/>
      <x v="2"/>
      <x v="3"/>
    </i>
    <i r="1">
      <x v="262"/>
      <x v="2"/>
      <x v="3"/>
    </i>
    <i t="default">
      <x v="33"/>
    </i>
    <i>
      <x v="35"/>
      <x v="1"/>
      <x v="1"/>
      <x/>
    </i>
    <i t="default">
      <x v="35"/>
    </i>
    <i>
      <x v="36"/>
      <x v="1"/>
      <x v="1"/>
      <x/>
    </i>
    <i t="default">
      <x v="36"/>
    </i>
    <i>
      <x v="37"/>
      <x v="1"/>
      <x v="1"/>
      <x/>
    </i>
    <i t="default">
      <x v="37"/>
    </i>
    <i>
      <x v="38"/>
      <x v="1"/>
      <x v="1"/>
      <x/>
    </i>
    <i t="default">
      <x v="38"/>
    </i>
    <i>
      <x v="39"/>
      <x v="1"/>
      <x v="1"/>
      <x/>
    </i>
    <i t="default">
      <x v="39"/>
    </i>
    <i>
      <x v="41"/>
      <x v="1"/>
      <x v="1"/>
      <x/>
    </i>
    <i t="default">
      <x v="41"/>
    </i>
    <i>
      <x v="43"/>
      <x v="1"/>
      <x v="1"/>
      <x/>
    </i>
    <i t="default">
      <x v="43"/>
    </i>
    <i>
      <x v="44"/>
      <x v="1"/>
      <x v="1"/>
      <x/>
    </i>
    <i t="default">
      <x v="44"/>
    </i>
    <i>
      <x v="45"/>
      <x v="236"/>
      <x v="3"/>
      <x v="10"/>
    </i>
    <i r="1">
      <x v="242"/>
      <x v="5"/>
      <x v="1"/>
    </i>
    <i r="1">
      <x v="245"/>
      <x v="8"/>
      <x v="1"/>
    </i>
    <i r="1">
      <x v="246"/>
      <x v="9"/>
      <x v="1"/>
    </i>
    <i t="default">
      <x v="45"/>
    </i>
    <i>
      <x v="47"/>
      <x v="1"/>
      <x v="1"/>
      <x/>
    </i>
    <i t="default">
      <x v="47"/>
    </i>
    <i>
      <x v="48"/>
      <x v="1"/>
      <x v="1"/>
      <x/>
    </i>
    <i t="default">
      <x v="48"/>
    </i>
    <i>
      <x v="50"/>
      <x v="1"/>
      <x v="1"/>
      <x/>
    </i>
    <i r="1">
      <x v="235"/>
      <x v="3"/>
      <x v="8"/>
    </i>
    <i t="default">
      <x v="50"/>
    </i>
    <i>
      <x v="51"/>
      <x v="1"/>
      <x v="1"/>
      <x/>
    </i>
    <i r="1">
      <x v="235"/>
      <x v="3"/>
      <x v="8"/>
    </i>
    <i t="default">
      <x v="51"/>
    </i>
    <i>
      <x v="53"/>
      <x v="235"/>
      <x v="3"/>
      <x v="8"/>
    </i>
    <i t="default">
      <x v="53"/>
    </i>
    <i>
      <x v="56"/>
      <x v="1"/>
      <x v="1"/>
      <x/>
    </i>
    <i t="default">
      <x v="56"/>
    </i>
    <i>
      <x v="57"/>
      <x v="1"/>
      <x v="1"/>
      <x/>
    </i>
    <i r="1">
      <x v="261"/>
      <x v="2"/>
      <x v="3"/>
    </i>
    <i t="default">
      <x v="57"/>
    </i>
    <i>
      <x v="59"/>
      <x v="260"/>
      <x v="97"/>
      <x v="4"/>
    </i>
    <i t="default">
      <x v="59"/>
    </i>
    <i>
      <x v="61"/>
      <x v="1"/>
      <x v="1"/>
      <x/>
    </i>
    <i t="default">
      <x v="61"/>
    </i>
    <i>
      <x v="63"/>
      <x v="1"/>
      <x v="1"/>
      <x/>
    </i>
    <i t="default">
      <x v="63"/>
    </i>
    <i>
      <x v="64"/>
      <x v="1"/>
      <x v="1"/>
      <x/>
    </i>
    <i r="1">
      <x v="66"/>
      <x v="75"/>
      <x v="6"/>
    </i>
    <i r="1">
      <x v="249"/>
      <x v="3"/>
      <x v="9"/>
    </i>
    <i t="default">
      <x v="64"/>
    </i>
    <i>
      <x v="67"/>
      <x v="1"/>
      <x v="1"/>
      <x/>
    </i>
    <i t="default">
      <x v="67"/>
    </i>
    <i>
      <x v="69"/>
      <x v="1"/>
      <x v="1"/>
      <x/>
    </i>
    <i t="default">
      <x v="69"/>
    </i>
    <i>
      <x v="73"/>
      <x v="1"/>
      <x v="1"/>
      <x/>
    </i>
    <i t="default">
      <x v="73"/>
    </i>
    <i>
      <x v="75"/>
      <x v="238"/>
      <x v="93"/>
      <x v="11"/>
    </i>
    <i t="default">
      <x v="75"/>
    </i>
    <i>
      <x v="76"/>
      <x v="1"/>
      <x v="1"/>
      <x/>
    </i>
    <i t="default">
      <x v="76"/>
    </i>
    <i>
      <x v="78"/>
      <x v="1"/>
      <x v="1"/>
      <x/>
    </i>
    <i t="default">
      <x v="78"/>
    </i>
    <i>
      <x v="79"/>
      <x v="1"/>
      <x v="1"/>
      <x/>
    </i>
    <i t="default">
      <x v="79"/>
    </i>
    <i>
      <x v="82"/>
      <x v="1"/>
      <x v="1"/>
      <x/>
    </i>
    <i r="1">
      <x v="53"/>
      <x v="21"/>
      <x v="4"/>
    </i>
    <i r="1">
      <x v="54"/>
      <x v="31"/>
      <x v="4"/>
    </i>
    <i r="1">
      <x v="55"/>
      <x v="15"/>
      <x v="4"/>
    </i>
    <i r="1">
      <x v="56"/>
      <x v="32"/>
      <x v="4"/>
    </i>
    <i t="default">
      <x v="82"/>
    </i>
    <i>
      <x v="83"/>
      <x v="1"/>
      <x v="1"/>
      <x/>
    </i>
    <i t="default">
      <x v="83"/>
    </i>
    <i>
      <x v="84"/>
      <x v="75"/>
      <x v="4"/>
      <x v="6"/>
    </i>
    <i r="1">
      <x v="77"/>
      <x v="46"/>
      <x v="6"/>
    </i>
    <i r="1">
      <x v="80"/>
      <x v="46"/>
      <x v="6"/>
    </i>
    <i r="1">
      <x v="81"/>
      <x v="47"/>
      <x v="6"/>
    </i>
    <i r="1">
      <x v="86"/>
      <x v="48"/>
      <x v="6"/>
    </i>
    <i r="1">
      <x v="87"/>
      <x v="48"/>
      <x v="6"/>
    </i>
    <i r="1">
      <x v="89"/>
      <x v="50"/>
      <x v="6"/>
    </i>
    <i r="1">
      <x v="92"/>
      <x v="7"/>
      <x v="6"/>
    </i>
    <i r="1">
      <x v="94"/>
      <x v="55"/>
      <x v="6"/>
    </i>
    <i r="1">
      <x v="95"/>
      <x v="55"/>
      <x v="6"/>
    </i>
    <i r="1">
      <x v="97"/>
      <x v="84"/>
      <x v="6"/>
    </i>
    <i r="1">
      <x v="99"/>
      <x v="58"/>
      <x v="6"/>
    </i>
    <i r="1">
      <x v="108"/>
      <x v="67"/>
      <x v="6"/>
    </i>
    <i r="1">
      <x v="109"/>
      <x v="67"/>
      <x v="6"/>
    </i>
    <i r="1">
      <x v="230"/>
      <x v="6"/>
      <x v="6"/>
    </i>
    <i t="default">
      <x v="84"/>
    </i>
    <i>
      <x v="85"/>
      <x v="1"/>
      <x v="1"/>
      <x/>
    </i>
    <i t="default">
      <x v="85"/>
    </i>
    <i>
      <x v="86"/>
      <x v="1"/>
      <x v="1"/>
      <x/>
    </i>
    <i t="default">
      <x v="86"/>
    </i>
    <i>
      <x v="87"/>
      <x v="1"/>
      <x v="1"/>
      <x/>
    </i>
    <i t="default">
      <x v="87"/>
    </i>
    <i>
      <x v="93"/>
      <x v="74"/>
      <x v="4"/>
      <x v="6"/>
    </i>
    <i t="default">
      <x v="93"/>
    </i>
    <i>
      <x v="95"/>
      <x v="228"/>
      <x v="3"/>
      <x v="6"/>
    </i>
    <i t="default">
      <x v="95"/>
    </i>
    <i>
      <x v="96"/>
      <x v="68"/>
      <x v="6"/>
      <x v="5"/>
    </i>
    <i r="1">
      <x v="69"/>
      <x v="6"/>
      <x v="5"/>
    </i>
    <i r="1">
      <x v="70"/>
      <x v="6"/>
      <x v="5"/>
    </i>
    <i r="1">
      <x v="71"/>
      <x v="6"/>
      <x v="5"/>
    </i>
    <i r="1">
      <x v="72"/>
      <x v="6"/>
      <x v="5"/>
    </i>
    <i t="default">
      <x v="96"/>
    </i>
    <i>
      <x v="97"/>
      <x v="228"/>
      <x v="3"/>
      <x v="5"/>
    </i>
    <i t="default">
      <x v="97"/>
    </i>
    <i>
      <x v="99"/>
      <x v="237"/>
      <x v="83"/>
      <x v="3"/>
    </i>
    <i t="default">
      <x v="99"/>
    </i>
    <i>
      <x v="101"/>
      <x v="237"/>
      <x v="83"/>
      <x v="3"/>
    </i>
    <i t="default">
      <x v="101"/>
    </i>
    <i>
      <x v="104"/>
      <x v="67"/>
      <x v="75"/>
      <x v="6"/>
    </i>
    <i r="1">
      <x v="69"/>
      <x v="11"/>
      <x v="6"/>
    </i>
    <i r="1">
      <x v="70"/>
      <x v="11"/>
      <x v="6"/>
    </i>
    <i r="1">
      <x v="71"/>
      <x v="76"/>
      <x v="6"/>
    </i>
    <i r="1">
      <x v="73"/>
      <x v="4"/>
      <x v="6"/>
    </i>
    <i r="1">
      <x v="88"/>
      <x v="50"/>
      <x v="6"/>
    </i>
    <i r="1">
      <x v="91"/>
      <x v="7"/>
      <x v="6"/>
    </i>
    <i r="1">
      <x v="100"/>
      <x v="85"/>
      <x v="6"/>
    </i>
    <i r="1">
      <x v="101"/>
      <x v="85"/>
      <x v="6"/>
    </i>
    <i r="1">
      <x v="102"/>
      <x v="85"/>
      <x v="6"/>
    </i>
    <i r="1">
      <x v="103"/>
      <x v="86"/>
      <x v="6"/>
    </i>
    <i r="1">
      <x v="104"/>
      <x v="87"/>
      <x v="6"/>
    </i>
    <i r="1">
      <x v="106"/>
      <x v="88"/>
      <x v="6"/>
    </i>
    <i r="1">
      <x v="112"/>
      <x v="89"/>
      <x v="6"/>
    </i>
    <i r="1">
      <x v="113"/>
      <x v="90"/>
      <x v="6"/>
    </i>
    <i r="1">
      <x v="115"/>
      <x v="89"/>
      <x v="6"/>
    </i>
    <i r="1">
      <x v="117"/>
      <x v="89"/>
      <x v="6"/>
    </i>
    <i r="1">
      <x v="118"/>
      <x v="89"/>
      <x v="6"/>
    </i>
    <i r="1">
      <x v="120"/>
      <x v="89"/>
      <x v="6"/>
    </i>
    <i t="default">
      <x v="104"/>
    </i>
    <i>
      <x v="106"/>
      <x v="252"/>
      <x v="95"/>
      <x v="9"/>
    </i>
    <i t="default">
      <x v="106"/>
    </i>
    <i>
      <x v="107"/>
      <x v="257"/>
      <x v="98"/>
      <x v="1"/>
    </i>
    <i t="default">
      <x v="107"/>
    </i>
    <i>
      <x v="109"/>
      <x v="1"/>
      <x v="1"/>
      <x/>
    </i>
    <i r="1">
      <x v="262"/>
      <x v="2"/>
      <x v="3"/>
    </i>
    <i t="default">
      <x v="109"/>
    </i>
    <i>
      <x v="118"/>
      <x v="1"/>
      <x v="1"/>
      <x/>
    </i>
    <i t="default">
      <x v="118"/>
    </i>
    <i>
      <x v="119"/>
      <x v="1"/>
      <x v="1"/>
      <x/>
    </i>
    <i t="default">
      <x v="119"/>
    </i>
    <i>
      <x v="123"/>
      <x v="1"/>
      <x v="1"/>
      <x/>
    </i>
    <i r="1">
      <x v="77"/>
      <x v="79"/>
      <x v="10"/>
    </i>
    <i r="1">
      <x v="78"/>
      <x v="80"/>
      <x v="10"/>
    </i>
    <i r="1">
      <x v="247"/>
      <x v="74"/>
      <x v="1"/>
    </i>
    <i r="1">
      <x v="255"/>
      <x v="96"/>
      <x v="9"/>
    </i>
    <i r="1">
      <x v="256"/>
      <x v="96"/>
      <x v="9"/>
    </i>
    <i t="default">
      <x v="123"/>
    </i>
    <i>
      <x v="130"/>
      <x v="1"/>
      <x v="1"/>
      <x/>
    </i>
    <i r="1">
      <x v="250"/>
      <x v="79"/>
      <x v="9"/>
    </i>
    <i t="default">
      <x v="130"/>
    </i>
    <i>
      <x v="144"/>
      <x v="1"/>
      <x v="1"/>
      <x/>
    </i>
    <i r="1">
      <x v="235"/>
      <x v="3"/>
      <x v="8"/>
    </i>
    <i t="default">
      <x v="144"/>
    </i>
    <i>
      <x v="145"/>
      <x v="1"/>
      <x v="1"/>
      <x/>
    </i>
    <i t="default">
      <x v="145"/>
    </i>
    <i>
      <x v="146"/>
      <x v="1"/>
      <x v="1"/>
      <x/>
    </i>
    <i t="default">
      <x v="146"/>
    </i>
    <i>
      <x v="147"/>
      <x v="1"/>
      <x v="1"/>
      <x/>
    </i>
    <i r="1">
      <x v="235"/>
      <x v="3"/>
      <x v="8"/>
    </i>
    <i t="default">
      <x v="147"/>
    </i>
    <i>
      <x v="148"/>
      <x v="1"/>
      <x v="1"/>
      <x/>
    </i>
    <i t="default">
      <x v="148"/>
    </i>
    <i>
      <x v="149"/>
      <x v="1"/>
      <x v="1"/>
      <x/>
    </i>
    <i r="1">
      <x v="241"/>
      <x v="4"/>
      <x v="1"/>
    </i>
    <i t="default">
      <x v="149"/>
    </i>
    <i>
      <x v="150"/>
      <x v="1"/>
      <x v="1"/>
      <x/>
    </i>
    <i t="default">
      <x v="150"/>
    </i>
    <i>
      <x v="151"/>
      <x v="1"/>
      <x v="1"/>
      <x/>
    </i>
    <i t="default">
      <x v="151"/>
    </i>
    <i>
      <x v="152"/>
      <x v="1"/>
      <x v="1"/>
      <x/>
    </i>
    <i t="default">
      <x v="152"/>
    </i>
    <i>
      <x v="153"/>
      <x v="1"/>
      <x v="1"/>
      <x/>
    </i>
    <i t="default">
      <x v="153"/>
    </i>
    <i>
      <x v="154"/>
      <x v="1"/>
      <x v="1"/>
      <x/>
    </i>
    <i t="default">
      <x v="154"/>
    </i>
    <i>
      <x v="155"/>
      <x v="1"/>
      <x v="1"/>
      <x/>
    </i>
    <i r="1">
      <x v="244"/>
      <x v="7"/>
      <x v="1"/>
    </i>
    <i t="default">
      <x v="155"/>
    </i>
    <i>
      <x v="156"/>
      <x v="1"/>
      <x v="1"/>
      <x/>
    </i>
    <i t="default">
      <x v="156"/>
    </i>
    <i>
      <x v="157"/>
      <x v="1"/>
      <x v="1"/>
      <x/>
    </i>
    <i r="1">
      <x v="243"/>
      <x v="6"/>
      <x v="1"/>
    </i>
    <i r="1">
      <x v="254"/>
      <x v="96"/>
      <x v="9"/>
    </i>
    <i t="default">
      <x v="157"/>
    </i>
    <i>
      <x v="158"/>
      <x v="1"/>
      <x v="1"/>
      <x/>
    </i>
    <i r="1">
      <x v="79"/>
      <x v="17"/>
      <x v="10"/>
    </i>
    <i t="default">
      <x v="158"/>
    </i>
    <i>
      <x v="160"/>
      <x v="1"/>
      <x v="1"/>
      <x/>
    </i>
    <i r="1">
      <x v="253"/>
      <x v="96"/>
      <x v="9"/>
    </i>
    <i t="default">
      <x v="160"/>
    </i>
    <i>
      <x v="161"/>
      <x v="1"/>
      <x v="1"/>
      <x/>
    </i>
    <i t="default">
      <x v="161"/>
    </i>
    <i>
      <x v="162"/>
      <x v="1"/>
      <x v="1"/>
      <x/>
    </i>
    <i t="default">
      <x v="162"/>
    </i>
    <i>
      <x v="164"/>
      <x v="1"/>
      <x v="1"/>
      <x/>
    </i>
    <i t="default">
      <x v="164"/>
    </i>
    <i>
      <x v="166"/>
      <x v="1"/>
      <x v="1"/>
      <x/>
    </i>
    <i r="1">
      <x v="251"/>
      <x v="80"/>
      <x v="9"/>
    </i>
    <i t="default">
      <x v="166"/>
    </i>
    <i>
      <x v="168"/>
      <x v="1"/>
      <x v="1"/>
      <x/>
    </i>
    <i t="default">
      <x v="168"/>
    </i>
    <i>
      <x v="170"/>
      <x v="1"/>
      <x v="1"/>
      <x/>
    </i>
    <i t="default">
      <x v="170"/>
    </i>
    <i>
      <x v="171"/>
      <x v="1"/>
      <x v="1"/>
      <x/>
    </i>
    <i r="1">
      <x v="258"/>
      <x v="98"/>
      <x v="1"/>
    </i>
    <i t="default">
      <x v="171"/>
    </i>
    <i>
      <x v="172"/>
      <x v="1"/>
      <x v="1"/>
      <x/>
    </i>
    <i t="default">
      <x v="172"/>
    </i>
    <i>
      <x v="173"/>
      <x v="1"/>
      <x v="1"/>
      <x/>
    </i>
    <i t="default">
      <x v="173"/>
    </i>
    <i>
      <x v="174"/>
      <x v="1"/>
      <x v="1"/>
      <x/>
    </i>
    <i t="default">
      <x v="174"/>
    </i>
    <i>
      <x v="175"/>
      <x v="1"/>
      <x v="1"/>
      <x/>
    </i>
    <i t="default">
      <x v="175"/>
    </i>
    <i>
      <x v="176"/>
      <x v="1"/>
      <x v="1"/>
      <x/>
    </i>
    <i t="default">
      <x v="176"/>
    </i>
    <i>
      <x v="177"/>
      <x v="1"/>
      <x v="1"/>
      <x/>
    </i>
    <i t="default">
      <x v="177"/>
    </i>
    <i>
      <x v="178"/>
      <x v="1"/>
      <x v="1"/>
      <x/>
    </i>
    <i t="default">
      <x v="178"/>
    </i>
    <i>
      <x v="179"/>
      <x v="1"/>
      <x v="1"/>
      <x/>
    </i>
    <i t="default">
      <x v="179"/>
    </i>
    <i>
      <x v="181"/>
      <x v="1"/>
      <x v="1"/>
      <x/>
    </i>
    <i t="default">
      <x v="181"/>
    </i>
    <i>
      <x v="182"/>
      <x v="1"/>
      <x v="1"/>
      <x/>
    </i>
    <i t="default">
      <x v="182"/>
    </i>
    <i>
      <x v="183"/>
      <x v="1"/>
      <x v="1"/>
      <x/>
    </i>
    <i t="default">
      <x v="183"/>
    </i>
    <i>
      <x v="184"/>
      <x v="1"/>
      <x v="1"/>
      <x/>
    </i>
    <i t="default">
      <x v="184"/>
    </i>
    <i>
      <x v="185"/>
      <x v="1"/>
      <x v="1"/>
      <x/>
    </i>
    <i t="default">
      <x v="185"/>
    </i>
    <i>
      <x v="186"/>
      <x v="1"/>
      <x v="1"/>
      <x/>
    </i>
    <i t="default">
      <x v="186"/>
    </i>
    <i>
      <x v="188"/>
      <x v="261"/>
      <x v="2"/>
      <x v="3"/>
    </i>
    <i t="default">
      <x v="188"/>
    </i>
    <i t="grand">
      <x/>
    </i>
  </rowItems>
  <colItems count="1">
    <i/>
  </colItems>
  <dataFields count="1">
    <dataField name="Sum of AMOUNT" fld="5" baseField="0" baseItem="0" numFmtId="40"/>
  </dataFields>
  <formats count="2">
    <format dxfId="338">
      <pivotArea outline="0" collapsedLevelsAreSubtotals="1" fieldPosition="0"/>
    </format>
    <format dxfId="337">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5" xr16:uid="{7E842C65-F7B6-4F24-917E-B56760AA7049}" autoFormatId="16" applyNumberFormats="0" applyBorderFormats="0" applyFontFormats="0" applyPatternFormats="0" applyAlignmentFormats="0" applyWidthHeightFormats="0">
  <queryTableRefresh nextId="9">
    <queryTableFields count="8">
      <queryTableField id="1" name="IFSL" tableColumnId="1"/>
      <queryTableField id="2" name="FS_LINE" tableColumnId="2"/>
      <queryTableField id="3" name="Total CY" tableColumnId="3"/>
      <queryTableField id="4" name="Total PY1" tableColumnId="4"/>
      <queryTableField id="5" name="Total PY2" tableColumnId="5"/>
      <queryTableField id="6" name="Total PY3" tableColumnId="6"/>
      <queryTableField id="7" name="Total PY4" tableColumnId="7"/>
      <queryTableField id="8" name="Total PY5" tableColumnId="8"/>
    </queryTableFields>
  </queryTableRefresh>
</queryTable>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imageurl">
      <keyFlags>
        <key name="Blip Identifier">
          <flag name="ShowInCardView" value="0"/>
        </key>
      </keyFlags>
    </type>
    <type name="_linkedentity">
      <keyFlags>
        <key name="%cvi">
          <flag name="ShowInCardView" value="0"/>
          <flag name="ShowInDotNotation" value="0"/>
          <flag name="ShowInAutoComplete" value="0"/>
          <flag name="ExcludeFromCalcComparison" value="1"/>
        </key>
      </keyFlags>
    </type>
    <type name="_linkedentitycore">
      <keyFlags>
        <key name="%EntityServiceId">
          <flag name="ShowInCardView" value="0"/>
          <flag name="ShowInDotNotation" value="0"/>
          <flag name="ShowInAutoComplete" value="0"/>
        </key>
        <key name="%EntitySubDomain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s>
</rvTypesInfo>
</file>

<file path=xl/richData/rdrichvalue.xml><?xml version="1.0" encoding="utf-8"?>
<rvData xmlns="http://schemas.microsoft.com/office/spreadsheetml/2017/richdata" count="38">
  <rv s="0">
    <v>en-CA</v>
    <v>cdznlh</v>
    <v>268435456</v>
    <v>1</v>
    <v>Powered by Refinitiv</v>
    <v>0</v>
    <v>iShares S&amp;P/TSX CapFin Idx ETF (NEOE:XFN)</v>
    <v>2</v>
    <v>3</v>
    <v>Finance</v>
    <v>4</v>
    <v>73.02</v>
    <v>52.98</v>
    <v>0.99439999999999995</v>
    <v>0.03</v>
    <v>4.1730000000000001E-4</v>
    <v>CAD</v>
    <v>NEO Exchange</v>
    <v>NEOE</v>
    <v>6.0000000000000001E-3</v>
    <v>72.27</v>
    <v>ETF</v>
    <v>45960.710861122658</v>
    <v>71.849999999999994</v>
    <v>1804020538.8299999</v>
    <v>iShares S&amp;P/TSX CapFin Idx ETF</v>
    <v>71.92</v>
    <v>71.89</v>
    <v>71.92</v>
    <v>XFN</v>
    <v>iShares S&amp;P/TSX CapFin Idx ETF (NEOE:XFN)</v>
    <v>58404</v>
  </rv>
  <rv s="1">
    <v>0</v>
  </rv>
  <rv s="2">
    <v>https://www.bing.com/financeapi/forcetrigger?t=aayh5r&amp;q=XTSE%3aGWO&amp;form=skydnc</v>
    <v>Learn more on Bing</v>
  </rv>
  <rv s="3">
    <v>en-CA</v>
    <v>aayh5r</v>
    <v>268435456</v>
    <v>1</v>
    <v>Powered by Refinitiv</v>
    <v>5</v>
    <v>GREAT-WEST LIFECO INC. (XTSE:GWO)</v>
    <v>6</v>
    <v>7</v>
    <v>Finance</v>
    <v>8</v>
    <v>59.71</v>
    <v>44.89</v>
    <v>0.75549999999999995</v>
    <v>0.48</v>
    <v>8.1589999999999996E-3</v>
    <v>CAD</v>
    <v>Great-West Lifeco Inc. is a financial services holding company. The Company operates in Canada, the United States and Europe under the brands Canada Life, Empower and Irish Life. The Company provides wealth, retirement, workplace benefits and insurance and risk solutions. The Company's segments include United States, Canada, Europe, and Capital and Risk Solutions. The United States segment comprises two distinct lines of business: Empower Workplace, which is aligned with the Retirement line of business, and Empower Wealth. The Canada and Europe segments comprise four distinct lines of business: Retirement, Wealth, Group Benefits and Insurance &amp; Annuities. The Europe segment serves customers in the United Kingdom, Ireland and Germany operating under the Canada Life brand in the United Kingdom and Germany and under the Irish Life brand in Ireland along with other acquired brands within the broker market in Ireland. The Capital and Risk Solutions segment includes its reinsurance business.</v>
    <v>33250</v>
    <v>Toronto Stock Exchange</v>
    <v>XTSE</v>
    <v>XTSE</v>
    <v>100 Osborne St. N., WINNIPEG, MB, R3C 1V3 CA</v>
    <v>59.42</v>
    <v>Insurance</v>
    <v>Stock</v>
    <v>45960.704513888886</v>
    <v>2</v>
    <v>58.615000000000002</v>
    <v>54797997681</v>
    <v>GREAT-WEST LIFECO INC.</v>
    <v>GREAT-WEST LIFECO INC.</v>
    <v>58.7</v>
    <v>14.854900000000001</v>
    <v>58.83</v>
    <v>59.31</v>
    <v>923925100</v>
    <v>GWO</v>
    <v>GREAT-WEST LIFECO INC. (XTSE:GWO)</v>
    <v>176453</v>
    <v>1077730</v>
    <v>1979</v>
  </rv>
  <rv s="1">
    <v>3</v>
  </rv>
  <rv s="4">
    <v>en-CA</v>
    <v>cdx3pr</v>
    <v>268435456</v>
    <v>1</v>
    <v>Powered by Refinitiv</v>
    <v>9</v>
    <v>FIRST CAPITAL REIT UNT (NEOE:FCR.UN)</v>
    <v>2</v>
    <v>10</v>
    <v>Finance</v>
    <v>4</v>
    <v>19.89</v>
    <v>15.17</v>
    <v>0.12</v>
    <v>6.483E-3</v>
    <v>CAD</v>
    <v>NEO Exchange</v>
    <v>NEOE</v>
    <v>18.690000000000001</v>
    <v>ETF</v>
    <v>45960.71474668906</v>
    <v>18.440000000000001</v>
    <v>FIRST CAPITAL REIT UNT</v>
    <v>18.440000000000001</v>
    <v>18.510000000000002</v>
    <v>18.63</v>
    <v>FCR.UN</v>
    <v>FIRST CAPITAL REIT UNT (NEOE:FCR.UN)</v>
    <v>8380</v>
  </rv>
  <rv s="1">
    <v>5</v>
  </rv>
  <rv s="2">
    <v>https://www.bing.com/financeapi/forcetrigger?t=aayzr7&amp;q=XTSE%3aKMP.UN&amp;form=skydnc</v>
    <v>Learn more on Bing</v>
  </rv>
  <rv s="5">
    <v>en-CA</v>
    <v>aayzr7</v>
    <v>268435456</v>
    <v>1</v>
    <v>Powered by Refinitiv</v>
    <v>11</v>
    <v>KILLAM APARTMENT REIT CL A UNT (XTSE:KMP.UN)</v>
    <v>12</v>
    <v>10</v>
    <v>Finance</v>
    <v>8</v>
    <v>19.8</v>
    <v>15.48</v>
    <v>0.1</v>
    <v>5.8140000000000006E-3</v>
    <v>CAD</v>
    <v>Toronto Stock Exchange</v>
    <v>XTSE</v>
    <v>17.32</v>
    <v>ETF</v>
    <v>45960.703136574077</v>
    <v>7</v>
    <v>17.14</v>
    <v>KILLAM APARTMENT REIT CL A UNT</v>
    <v>17.149999999999999</v>
    <v>17.2</v>
    <v>17.3</v>
    <v>KMP.UN</v>
    <v>KILLAM APARTMENT REIT CL A UNT (XTSE:KMP.UN)</v>
    <v>69950</v>
  </rv>
  <rv s="1">
    <v>8</v>
  </rv>
  <rv s="2">
    <v>https://www.bing.com/financeapi/forcetrigger?t=a1u3rw&amp;q=XNAS%3aGOOGL&amp;form=skydnc</v>
    <v>Learn more on Bing</v>
  </rv>
  <rv s="3">
    <v>en-CA</v>
    <v>a1u3rw</v>
    <v>268435456</v>
    <v>1</v>
    <v>Powered by Refinitiv</v>
    <v>5</v>
    <v>ALPHABET INC. (XNAS:GOOGL)</v>
    <v>6</v>
    <v>13</v>
    <v>Finance</v>
    <v>14</v>
    <v>291.47000000000003</v>
    <v>140.53</v>
    <v>1.0527</v>
    <v>10.99</v>
    <v>4.0025999999999999E-2</v>
    <v>USD</v>
    <v>Alphabet Inc. is a holding company. The Company's segments include Google Services, Google Cloud, and Other Bets. The Google Services segment includes products and services such as ads, Android, Chrome, devices, Google Maps, Google Play, Search, and YouTube. The Google Cloud segment includes infrastructure and platform services, collaboration tools, and other services for enterprise customers. Its Other Bets segment is engaged in the sale of healthcare-related services and Internet services. Its Google Cloud provides enterprise-ready cloud services, including Google Cloud Platform and Google Workspace. Google Cloud Platform provides access to solutions such as artificial intelligence (AI) offerings, including its AI infrastructure, Vertex AI platform, and Gemini for Google Cloud; cybersecurity, and data and analytics. Google Workspace includes cloud-based communication and collaboration tools for enterprises, such as Calendar, Gmail, Docs, Drive, and Meet.</v>
    <v>187103</v>
    <v>Nasdaq Stock Market</v>
    <v>XNAS</v>
    <v>XNAS</v>
    <v>1600 Amphitheatre Parkway, MOUNTAIN VIEW, CA, 94043 US</v>
    <v>291.47000000000003</v>
    <v>Software &amp; IT Services</v>
    <v>Stock</v>
    <v>45960.715129652344</v>
    <v>10</v>
    <v>280.07</v>
    <v>3323908000000</v>
    <v>ALPHABET INC.</v>
    <v>ALPHABET INC.</v>
    <v>291.18</v>
    <v>28.1692</v>
    <v>274.57</v>
    <v>285.56</v>
    <v>12094000000</v>
    <v>GOOGL</v>
    <v>ALPHABET INC. (XNAS:GOOGL)</v>
    <v>51997197</v>
    <v>29287423</v>
    <v>2015</v>
  </rv>
  <rv s="1">
    <v>11</v>
  </rv>
  <rv s="2">
    <v>https://www.bing.com/financeapi/forcetrigger?t=a1nhlh&amp;q=XNAS%3aAMZN&amp;form=skydnc</v>
    <v>Learn more on Bing</v>
  </rv>
  <rv s="3">
    <v>en-CA</v>
    <v>a1nhlh</v>
    <v>268435456</v>
    <v>1</v>
    <v>Powered by Refinitiv</v>
    <v>5</v>
    <v>AMAZON.COM, INC. (XNAS:AMZN)</v>
    <v>6</v>
    <v>13</v>
    <v>Finance</v>
    <v>14</v>
    <v>242.52</v>
    <v>161.38</v>
    <v>1.286</v>
    <v>-5.6142000000000003</v>
    <v>-2.4378E-2</v>
    <v>USD</v>
    <v>Amazon.com, Inc. provides a range of products and services to customers. The products offered through its stores include merchandise and content it has purchased for resale and products offered by third-party sellers. The Company’s segments include North America, International and Amazon Web Services (AWS). It serves consumers through its online and physical stores and focuses on selection, price, and convenience. Customers access its offerings through its websites, mobile apps, Alexa, devices, streaming, and physically visiting its stores. It also manufactures and sells electronic devices, including Kindle, Fire tablet, Fire TV, Echo, Ring, Blink, and eero, and develops and produces media content. It serves developers and enterprises of all sizes, including start-ups, government agencies, and academic institutions, through AWS, which offers a set of on-demand technology services, including compute, storage, database, analytics, and machine learning, and other services.</v>
    <v>1546000</v>
    <v>Nasdaq Stock Market</v>
    <v>XNAS</v>
    <v>XNAS</v>
    <v>410 Terry Avenue North, SEATTLE, WA, 98109 US</v>
    <v>228.43</v>
    <v>Diversified Retail</v>
    <v>Stock</v>
    <v>45960.715140971872</v>
    <v>13</v>
    <v>223.95</v>
    <v>2396253835278</v>
    <v>AMAZON.COM, INC.</v>
    <v>AMAZON.COM, INC.</v>
    <v>227</v>
    <v>34.2864</v>
    <v>230.3</v>
    <v>224.6858</v>
    <v>10664910000</v>
    <v>AMZN</v>
    <v>AMAZON.COM, INC. (XNAS:AMZN)</v>
    <v>35173794</v>
    <v>44592599</v>
    <v>1996</v>
  </rv>
  <rv s="1">
    <v>14</v>
  </rv>
  <rv s="2">
    <v>https://www.bing.com/financeapi/forcetrigger?t=a1nz8m&amp;q=XNAS%3aAVGO&amp;form=skydnc</v>
    <v>Learn more on Bing</v>
  </rv>
  <rv s="3">
    <v>en-CA</v>
    <v>a1nz8m</v>
    <v>268435456</v>
    <v>1</v>
    <v>Powered by Refinitiv</v>
    <v>5</v>
    <v>BROADCOM INC. (XNAS:AVGO)</v>
    <v>6</v>
    <v>13</v>
    <v>Finance</v>
    <v>14</v>
    <v>386.48</v>
    <v>138.1</v>
    <v>1.2107000000000001</v>
    <v>-8.98</v>
    <v>-2.3264999999999997E-2</v>
    <v>USD</v>
    <v>Broadcom Inc. is a global technology firm that designs, develops, and supplies a range of semiconductors, enterprise software and security solutions. The Company operates through two segments: semiconductor solutions and infrastructure software. Its semiconductor solutions segment includes all of its product lines and intellectual property (IP) licensing. It provides a variety of radio frequency semiconductor devices, wireless connectivity solutions, custom touch controllers, and inductive charging solutions for mobile applications. Its infrastructure software segment includes its private and hybrid cloud, application development and delivery, software-defined edge, application networking and security, mainframe, distributed and cybersecurity solutions, and its FC SAN business. It provides a portfolio of software solutions that enable customers to plan, develop, automate, manage and secure applications across mainframe, distributed, mobile and cloud platforms.</v>
    <v>37000</v>
    <v>Nasdaq Stock Market</v>
    <v>XNAS</v>
    <v>XNAS</v>
    <v>3421 Hillview Avenue, PALO ALTO, CA, 94304 US</v>
    <v>385.95499999999998</v>
    <v>Semiconductors &amp; Semiconductor Equipment</v>
    <v>Stock</v>
    <v>45960.715138240623</v>
    <v>16</v>
    <v>370.06</v>
    <v>1780331605000</v>
    <v>BROADCOM INC.</v>
    <v>BROADCOM INC.</v>
    <v>385.89</v>
    <v>96.641900000000007</v>
    <v>385.98</v>
    <v>377</v>
    <v>4722365000</v>
    <v>AVGO</v>
    <v>BROADCOM INC. (XNAS:AVGO)</v>
    <v>12484400</v>
    <v>20733231</v>
    <v>2018</v>
  </rv>
  <rv s="1">
    <v>17</v>
  </rv>
  <rv s="2">
    <v>https://www.bing.com/financeapi/forcetrigger?t=a1q6k2&amp;q=XNAS%3aCOST&amp;form=skydnc</v>
    <v>Learn more on Bing</v>
  </rv>
  <rv s="3">
    <v>en-CA</v>
    <v>a1q6k2</v>
    <v>268435456</v>
    <v>1</v>
    <v>Powered by Refinitiv</v>
    <v>5</v>
    <v>COSTCO WHOLESALE CORPORATION (XNAS:COST)</v>
    <v>6</v>
    <v>13</v>
    <v>Finance</v>
    <v>14</v>
    <v>1078.2349999999999</v>
    <v>867.34010000000001</v>
    <v>0.97760000000000002</v>
    <v>6.5815000000000001</v>
    <v>7.2130000000000007E-3</v>
    <v>USD</v>
    <v>Costco Wholesale Corporation (Costco) operates membership warehouses and e-commerce sites that offer a selection of nationally branded and private-label products in a wide range of categories. The Company buys the majority of its merchandise directly from suppliers and route it to cross-docking consolidation points (depots) or directly to its warehouses. It operates 891 warehouses, including 614 in the United States and Puerto Rico, 108 in Canada, 40 in Mexico, 35 in Japan, 29 in the United Kingdom, 19 in Korea, 15 in Australia, 14 in Taiwan, seven in China, five in Spain, two in France, and one each in Iceland, New Zealand and Sweden. It also operates e-commerce sites in the United States, Canada, the United Kingdom, Mexico, Korea, Taiwan, Japan and Australia. The Company provides wide selection of merchandise, plus the convenience of specialty departments and exclusive member services.</v>
    <v>341000</v>
    <v>Nasdaq Stock Market</v>
    <v>XNAS</v>
    <v>XNAS</v>
    <v>999 Lake Dr, ISSAQUAH, WA, 98027- US</v>
    <v>919.41</v>
    <v>Diversified Retail</v>
    <v>Stock</v>
    <v>45960.715103691407</v>
    <v>19</v>
    <v>910.37</v>
    <v>407282349568</v>
    <v>COSTCO WHOLESALE CORPORATION</v>
    <v>COSTCO WHOLESALE CORPORATION</v>
    <v>912.69</v>
    <v>50.472099999999998</v>
    <v>912.42</v>
    <v>919.00149999999996</v>
    <v>443179200</v>
    <v>COST</v>
    <v>COSTCO WHOLESALE CORPORATION (XNAS:COST)</v>
    <v>1059806</v>
    <v>2527868</v>
    <v>1987</v>
  </rv>
  <rv s="1">
    <v>20</v>
  </rv>
  <rv s="2">
    <v>http://en.wikipedia.org/wiki/Public_domain</v>
    <v>Public domain</v>
  </rv>
  <rv s="2">
    <v>https://en.wikipedia.org/wiki/Microsoft</v>
    <v>Wikipedia</v>
  </rv>
  <rv s="6">
    <v>22</v>
    <v>23</v>
  </rv>
  <rv s="7">
    <v>19</v>
    <v>https://www.bing.com/th?id=AMMS_e6e837c7bf3a77408619758b7447855a&amp;qlt=95</v>
    <v>24</v>
    <v>0</v>
    <v>https://www.bing.com/images/search?form=xlimg&amp;q=microsoft</v>
    <v>Image of MICROSOFT CORPORATION</v>
  </rv>
  <rv s="2">
    <v>https://www.bing.com/financeapi/forcetrigger?t=a1xzim&amp;q=XNAS%3aMSFT&amp;form=skydnc</v>
    <v>Learn more on Bing</v>
  </rv>
  <rv s="8">
    <v>en-CA</v>
    <v>a1xzim</v>
    <v>268435456</v>
    <v>1</v>
    <v>Powered by Refinitiv</v>
    <v>15</v>
    <v>MICROSOFT CORPORATION (XNAS:MSFT)</v>
    <v>17</v>
    <v>18</v>
    <v>Finance</v>
    <v>14</v>
    <v>555.45000000000005</v>
    <v>344.79</v>
    <v>1.0206999999999999</v>
    <v>-14.8</v>
    <v>-2.7328999999999999E-2</v>
    <v>USD</v>
    <v>Microsoft Corporation is a technology company. The Company develops and supports software, services, devices, and solutions. The Company’s segments include Productivity and Business Processes, Intelligent Cloud, and More Personal Computing. The Productivity and Business Processes segment consists of products and services in its portfolio of productivity, communication, and information services. This segment primarily comprises: Office Commercial, Office Consumer, LinkedIn, and Dynamics business solutions. The Intelligent Cloud segment consists of server products and cloud services, including Azure and other cloud services, SQL Server, Windows Server, Visual Studio, System Center, and related Client Access Licenses (CALs), and Nuance and GitHub; and Enterprise Services, including enterprise support services, industry solutions and Nuance professional services. The More Personal Computing segment primarily comprises Windows, Devices, Gaming, and search and news advertising.</v>
    <v>228000</v>
    <v>Nasdaq Stock Market</v>
    <v>XNAS</v>
    <v>XNAS</v>
    <v>One Microsoft Way, REDMOND, WA, 98052 US</v>
    <v>534.97</v>
    <v>25</v>
    <v>Software &amp; IT Services</v>
    <v>Stock</v>
    <v>45960.715136284372</v>
    <v>26</v>
    <v>522.16</v>
    <v>3915378577250</v>
    <v>MICROSOFT CORPORATION</v>
    <v>MICROSOFT CORPORATION</v>
    <v>530.24</v>
    <v>38.614899999999999</v>
    <v>541.54999999999995</v>
    <v>526.75</v>
    <v>7433087000</v>
    <v>MSFT</v>
    <v>MICROSOFT CORPORATION (XNAS:MSFT)</v>
    <v>26487013</v>
    <v>18510526</v>
    <v>1993</v>
  </rv>
  <rv s="1">
    <v>27</v>
  </rv>
  <rv s="2">
    <v>https://www.bing.com/financeapi/forcetrigger?t=a1q5nm&amp;q=XNYS%3aCOP&amp;form=skydnc</v>
    <v>Learn more on Bing</v>
  </rv>
  <rv s="3">
    <v>en-CA</v>
    <v>a1q5nm</v>
    <v>268435456</v>
    <v>1</v>
    <v>Powered by Refinitiv</v>
    <v>5</v>
    <v>CONOCOPHILLIPS (XNYS:COP)</v>
    <v>6</v>
    <v>13</v>
    <v>Finance</v>
    <v>14</v>
    <v>115.38</v>
    <v>79.88</v>
    <v>0.57820000000000005</v>
    <v>0.95499999999999996</v>
    <v>1.0842000000000001E-2</v>
    <v>USD</v>
    <v>ConocoPhillips is an exploration and production company. Its Alaska segment primarily explores for, produces, transports and markets crude oil, natural gas and NGLs. The Lower 48 segment consists of operations located in the 48 contiguous states in the United States and the Gulf of Mexico. Canadian operations consist of the Surmont oil sands development in Alberta, the liquids-rich Montney unconventional play in British Columbia and commercial operations. The Europe, Middle East and North Africa segment consists of operations principally located in the Norwegian sector of the North Sea, the Norwegian Sea, Qatar, Libya, Equatorial Guinea and commercial and terminalling operations in the United Kingdom. Asia Pacific segment has exploration and production operations in China, Malaysia, Australia and commercial operations in China, Singapore and Japan. Other International segment includes interests in Colombia as well as contingencies associated with prior operations in other countries.</v>
    <v>11700</v>
    <v>New York Stock Exchange</v>
    <v>XNYS</v>
    <v>XNYS</v>
    <v>925 N. Eldridge Parkway, HOUSTON, TX, 77079-2703 US</v>
    <v>89.253299999999996</v>
    <v>Oil &amp; Gas</v>
    <v>Stock</v>
    <v>45960.715065370314</v>
    <v>29</v>
    <v>87.3</v>
    <v>111199550970</v>
    <v>CONOCOPHILLIPS</v>
    <v>CONOCOPHILLIPS</v>
    <v>87.88</v>
    <v>11.9452</v>
    <v>88.08</v>
    <v>89.034999999999997</v>
    <v>1248942000</v>
    <v>COP</v>
    <v>CONOCOPHILLIPS (XNYS:COP)</v>
    <v>1931487</v>
    <v>6225614</v>
    <v>2001</v>
  </rv>
  <rv s="1">
    <v>30</v>
  </rv>
  <rv s="2">
    <v>https://www.bing.com/financeapi/forcetrigger?t=a1zez2&amp;q=XNYS%3aOXY&amp;form=skydnc</v>
    <v>Learn more on Bing</v>
  </rv>
  <rv s="3">
    <v>en-CA</v>
    <v>a1zez2</v>
    <v>268435456</v>
    <v>1</v>
    <v>Powered by Refinitiv</v>
    <v>5</v>
    <v>OCCIDENTAL PETROLEUM CORPORATION (XNYS:OXY)</v>
    <v>6</v>
    <v>13</v>
    <v>Finance</v>
    <v>14</v>
    <v>53.2</v>
    <v>34.784999999999997</v>
    <v>0.89580000000000004</v>
    <v>0.54500000000000004</v>
    <v>1.3429999999999999E-2</v>
    <v>USD</v>
    <v>Occidental Petroleum Corporation is an international energy company with assets primarily in the United States, the Middle East and North Africa. The Company is an oil and gas producer in the United States, including a producer in the Permian and DJ basins, and the offshore Gulf of Mexico. It operates through three segments: oil and gas, chemical and midstream and marketing. The oil and gas segment explores for, develops, and produces oil (which includes condensate), natural gas liquids (NGL) and natural gas. The chemical segment primarily manufactures and markets basic chemicals and vinyls. The midstream and marketing segment purchases, markets, gathers, processes, transports, and stores oil (which includes condensate), NGL, natural gas, carbon dioxide (CO2) and power. The midstream and marketing segment provides flow assurance and maximizes the value of its oil and gas. It also optimizes its transportation and storage capacity and invests in entities that conduct similar activities.</v>
    <v>13323</v>
    <v>New York Stock Exchange</v>
    <v>XNYS</v>
    <v>XNYS</v>
    <v>5 GREENWAY PLAZA, SUITE 110, HOUSTON, TX, 77046 US</v>
    <v>41.18</v>
    <v>Oil &amp; Gas</v>
    <v>Stock</v>
    <v>45960.715107430471</v>
    <v>32</v>
    <v>40.094200000000001</v>
    <v>40485086775</v>
    <v>OCCIDENTAL PETROLEUM CORPORATION</v>
    <v>OCCIDENTAL PETROLEUM CORPORATION</v>
    <v>40.32</v>
    <v>24.224</v>
    <v>40.58</v>
    <v>41.125</v>
    <v>984439800</v>
    <v>OXY</v>
    <v>OCCIDENTAL PETROLEUM CORPORATION (XNYS:OXY)</v>
    <v>4763908</v>
    <v>12408046</v>
    <v>1986</v>
  </rv>
  <rv s="1">
    <v>33</v>
  </rv>
  <rv s="9">
    <v>en-CA</v>
    <v>avylur</v>
    <v>268435456</v>
    <v>1</v>
    <v>Powered by Refinitiv</v>
    <v>20</v>
    <v>USD/CAD</v>
    <v>2</v>
    <v>21</v>
    <v>Finance</v>
    <v>22</v>
    <v>1.4793000000000001</v>
    <v>1.3536999999999999</v>
    <v>4.7000000000000002E-3</v>
    <v>3.3710000000000003E-3</v>
    <v>CAD</v>
    <v>USD</v>
    <v>1.4014</v>
    <v>Currency Pair</v>
    <v>45960.715104166666</v>
    <v>1.3928</v>
    <v>US Dollar/Canadian Dollar FX Spot Rate</v>
    <v>1.3940999999999999</v>
    <v>1.3942000000000001</v>
    <v>1.3989</v>
    <v>USDCAD</v>
    <v>USD/CAD</v>
  </rv>
  <rv s="1">
    <v>35</v>
  </rv>
  <rv s="10">
    <v>0</v>
    <v>8</v>
    <v>17</v>
    <v>5</v>
  </rv>
</rvData>
</file>

<file path=xl/richData/rdrichvaluestructure.xml><?xml version="1.0" encoding="utf-8"?>
<rvStructures xmlns="http://schemas.microsoft.com/office/spreadsheetml/2017/richdata" count="11">
  <s t="_linkedentitycore">
    <k n="%EntityCulture" t="s"/>
    <k n="%EntityId" t="s"/>
    <k n="%EntityServiceId"/>
    <k n="%IsRefreshable" t="b"/>
    <k n="%ProviderInfo" t="s"/>
    <k n="_Display" t="spb"/>
    <k n="_DisplayString" t="s"/>
    <k n="_Flags" t="spb"/>
    <k n="_Format" t="spb"/>
    <k n="_Icon" t="s"/>
    <k n="_SubLabel" t="spb"/>
    <k n="52 week high"/>
    <k n="52 week low"/>
    <k n="Beta"/>
    <k n="Change"/>
    <k n="Change (%)"/>
    <k n="Currency" t="s"/>
    <k n="Exchange" t="s"/>
    <k n="Exchange abbreviation" t="s"/>
    <k n="Expense ratio"/>
    <k n="High"/>
    <k n="Instrument type" t="s"/>
    <k n="Last trade time"/>
    <k n="Low"/>
    <k n="Market cap"/>
    <k n="Name" t="s"/>
    <k n="Open"/>
    <k n="Previous close"/>
    <k n="Price"/>
    <k n="Ticker symbol" t="s"/>
    <k n="UniqueName" t="s"/>
    <k n="Volume"/>
  </s>
  <s t="_linkedentity">
    <k n="%cvi" t="r"/>
  </s>
  <s t="_hyperlink">
    <k n="Address" t="s"/>
    <k n="Text" t="s"/>
  </s>
  <s t="_linkedentitycore">
    <k n="%EntityCulture" t="s"/>
    <k n="%EntityId" t="s"/>
    <k n="%EntityServiceId"/>
    <k n="%IsRefreshable" t="b"/>
    <k n="%ProviderInfo" t="s"/>
    <k n="_Display" t="spb"/>
    <k n="_DisplayString" t="s"/>
    <k n="_Flags" t="spb"/>
    <k n="_Format" t="spb"/>
    <k n="_Icon" t="s"/>
    <k n="_SubLabel" t="spb"/>
    <k n="52 week high"/>
    <k n="52 week low"/>
    <k n="Beta"/>
    <k n="Change"/>
    <k n="Change (%)"/>
    <k n="Currency" t="s"/>
    <k n="Description" t="s"/>
    <k n="Employees"/>
    <k n="Exchange" t="s"/>
    <k n="Exchange abbreviation" t="s"/>
    <k n="ExchangeID" t="s"/>
    <k n="Headquarters" t="s"/>
    <k n="High"/>
    <k n="Industry" t="s"/>
    <k n="Instrument type" t="s"/>
    <k n="Last trade time"/>
    <k n="LearnMoreOnLink" t="r"/>
    <k n="Low"/>
    <k n="Market cap"/>
    <k n="Name" t="s"/>
    <k n="Official name" t="s"/>
    <k n="Open"/>
    <k n="P/E"/>
    <k n="Previous close"/>
    <k n="Price"/>
    <k n="Shares outstanding"/>
    <k n="Ticker symbol" t="s"/>
    <k n="UniqueName" t="s"/>
    <k n="Volume"/>
    <k n="Volume average"/>
    <k n="Year incorporated"/>
  </s>
  <s t="_linkedentitycore">
    <k n="%EntityCulture" t="s"/>
    <k n="%EntityId" t="s"/>
    <k n="%EntityServiceId"/>
    <k n="%IsRefreshable" t="b"/>
    <k n="%ProviderInfo" t="s"/>
    <k n="_Display" t="spb"/>
    <k n="_DisplayString" t="s"/>
    <k n="_Flags" t="spb"/>
    <k n="_Format" t="spb"/>
    <k n="_Icon" t="s"/>
    <k n="_SubLabel" t="spb"/>
    <k n="52 week high"/>
    <k n="52 week low"/>
    <k n="Change"/>
    <k n="Change (%)"/>
    <k n="Currency" t="s"/>
    <k n="Exchange" t="s"/>
    <k n="Exchange abbreviation" t="s"/>
    <k n="High"/>
    <k n="Instrument type" t="s"/>
    <k n="Last trade time"/>
    <k n="Low"/>
    <k n="Name" t="s"/>
    <k n="Open"/>
    <k n="Previous close"/>
    <k n="Price"/>
    <k n="Ticker symbol" t="s"/>
    <k n="UniqueName" t="s"/>
    <k n="Volume"/>
  </s>
  <s t="_linkedentitycore">
    <k n="%EntityCulture" t="s"/>
    <k n="%EntityId" t="s"/>
    <k n="%EntityServiceId"/>
    <k n="%IsRefreshable" t="b"/>
    <k n="%ProviderInfo" t="s"/>
    <k n="_Display" t="spb"/>
    <k n="_DisplayString" t="s"/>
    <k n="_Flags" t="spb"/>
    <k n="_Format" t="spb"/>
    <k n="_Icon" t="s"/>
    <k n="_SubLabel" t="spb"/>
    <k n="52 week high"/>
    <k n="52 week low"/>
    <k n="Change"/>
    <k n="Change (%)"/>
    <k n="Currency" t="s"/>
    <k n="Exchange" t="s"/>
    <k n="Exchange abbreviation" t="s"/>
    <k n="High"/>
    <k n="Instrument type" t="s"/>
    <k n="Last trade time"/>
    <k n="LearnMoreOnLink" t="r"/>
    <k n="Low"/>
    <k n="Name" t="s"/>
    <k n="Open"/>
    <k n="Previous close"/>
    <k n="Price"/>
    <k n="Ticker symbol" t="s"/>
    <k n="UniqueName" t="s"/>
    <k n="Volume"/>
  </s>
  <s t="_sourceattribution">
    <k n="License" t="r"/>
    <k n="Source" t="r"/>
  </s>
  <s t="_imageurl">
    <k n="_Provider" t="spb"/>
    <k n="Address" t="s"/>
    <k n="Attribution" t="r"/>
    <k n="ComputedImage" t="b"/>
    <k n="More Images Address" t="s"/>
    <k n="Text" t="s"/>
  </s>
  <s t="_linkedentitycore">
    <k n="%EntityCulture" t="s"/>
    <k n="%EntityId" t="s"/>
    <k n="%EntityServiceId"/>
    <k n="%IsRefreshable" t="b"/>
    <k n="%ProviderInfo" t="s"/>
    <k n="_Display" t="spb"/>
    <k n="_DisplayString" t="s"/>
    <k n="_Flags" t="spb"/>
    <k n="_Format" t="spb"/>
    <k n="_Icon" t="s"/>
    <k n="_SubLabel" t="spb"/>
    <k n="52 week high"/>
    <k n="52 week low"/>
    <k n="Beta"/>
    <k n="Change"/>
    <k n="Change (%)"/>
    <k n="Currency" t="s"/>
    <k n="Description" t="s"/>
    <k n="Employees"/>
    <k n="Exchange" t="s"/>
    <k n="Exchange abbreviation" t="s"/>
    <k n="ExchangeID" t="s"/>
    <k n="Headquarters" t="s"/>
    <k n="High"/>
    <k n="Image" t="r"/>
    <k n="Industry" t="s"/>
    <k n="Instrument type" t="s"/>
    <k n="Last trade time"/>
    <k n="LearnMoreOnLink" t="r"/>
    <k n="Low"/>
    <k n="Market cap"/>
    <k n="Name" t="s"/>
    <k n="Official name" t="s"/>
    <k n="Open"/>
    <k n="P/E"/>
    <k n="Previous close"/>
    <k n="Price"/>
    <k n="Shares outstanding"/>
    <k n="Ticker symbol" t="s"/>
    <k n="UniqueName" t="s"/>
    <k n="Volume"/>
    <k n="Volume average"/>
    <k n="Year incorporated"/>
  </s>
  <s t="_linkedentitycore">
    <k n="%EntityCulture" t="s"/>
    <k n="%EntityId" t="s"/>
    <k n="%EntityServiceId"/>
    <k n="%IsRefreshable" t="b"/>
    <k n="%ProviderInfo" t="s"/>
    <k n="_Display" t="spb"/>
    <k n="_DisplayString" t="s"/>
    <k n="_Flags" t="spb"/>
    <k n="_Format" t="spb"/>
    <k n="_Icon" t="s"/>
    <k n="_SubLabel" t="spb"/>
    <k n="52 week high"/>
    <k n="52 week low"/>
    <k n="Change"/>
    <k n="Change (%)"/>
    <k n="Currency" t="s"/>
    <k n="From currency" t="s"/>
    <k n="High"/>
    <k n="Instrument type" t="s"/>
    <k n="Last trade time"/>
    <k n="Low"/>
    <k n="Name" t="s"/>
    <k n="Open"/>
    <k n="Previous close"/>
    <k n="Price"/>
    <k n="Ticker symbol" t="s"/>
    <k n="UniqueName" t="s"/>
  </s>
  <s t="_error">
    <k n="colOffset" t="i"/>
    <k n="errorType" t="i"/>
    <k n="rwOffset" t="i"/>
    <k n="subType" t="i"/>
  </s>
</rvStructures>
</file>

<file path=xl/richData/rdsupportingpropertybag.xml><?xml version="1.0" encoding="utf-8"?>
<supportingPropertyBags xmlns="http://schemas.microsoft.com/office/spreadsheetml/2017/richdata2">
  <spbArrays count="6">
    <a count="32">
      <v t="s">%EntityServiceId</v>
      <v t="s">_Format</v>
      <v t="s">%IsRefreshable</v>
      <v t="s">%EntityCulture</v>
      <v t="s">%EntityId</v>
      <v t="s">_Icon</v>
      <v t="s">_Display</v>
      <v t="s">Name</v>
      <v t="s">Price</v>
      <v t="s">Exchange</v>
      <v t="s">_SubLabel</v>
      <v t="s">Last trade time</v>
      <v t="s">Ticker symbol</v>
      <v t="s">Exchange abbreviation</v>
      <v t="s">Change</v>
      <v t="s">Expense ratio</v>
      <v t="s">Change (%)</v>
      <v t="s">Currency</v>
      <v t="s">Previous close</v>
      <v t="s">Open</v>
      <v t="s">High</v>
      <v t="s">Low</v>
      <v t="s">52 week high</v>
      <v t="s">52 week low</v>
      <v t="s">Volume</v>
      <v t="s">Market cap</v>
      <v t="s">Beta</v>
      <v t="s">Instrument type</v>
      <v t="s">_Flags</v>
      <v t="s">UniqueName</v>
      <v t="s">_DisplayString</v>
      <v t="s">%ProviderInfo</v>
    </a>
    <a count="42">
      <v t="s">%EntityServiceId</v>
      <v t="s">_Format</v>
      <v t="s">%IsRefreshable</v>
      <v t="s">%EntityCulture</v>
      <v t="s">%EntityId</v>
      <v t="s">_Icon</v>
      <v t="s">_Display</v>
      <v t="s">Name</v>
      <v t="s">_SubLabel</v>
      <v t="s">Price</v>
      <v t="s">Exchange</v>
      <v t="s">Official name</v>
      <v t="s">Last trade time</v>
      <v t="s">Ticker symbol</v>
      <v t="s">Exchange abbreviation</v>
      <v t="s">Change</v>
      <v t="s">Change (%)</v>
      <v t="s">Currency</v>
      <v t="s">Previous close</v>
      <v t="s">Open</v>
      <v t="s">High</v>
      <v t="s">Low</v>
      <v t="s">52 week high</v>
      <v t="s">52 week low</v>
      <v t="s">Volume</v>
      <v t="s">Volume average</v>
      <v t="s">Market cap</v>
      <v t="s">Beta</v>
      <v t="s">P/E</v>
      <v t="s">Shares outstanding</v>
      <v t="s">Description</v>
      <v t="s">Employees</v>
      <v t="s">Headquarters</v>
      <v t="s">Industry</v>
      <v t="s">Instrument type</v>
      <v t="s">Year incorporated</v>
      <v t="s">_Flags</v>
      <v t="s">UniqueName</v>
      <v t="s">_DisplayString</v>
      <v t="s">LearnMoreOnLink</v>
      <v t="s">ExchangeID</v>
      <v t="s">%ProviderInfo</v>
    </a>
    <a count="29">
      <v t="s">%EntityServiceId</v>
      <v t="s">_Format</v>
      <v t="s">%IsRefreshable</v>
      <v t="s">%EntityCulture</v>
      <v t="s">%EntityId</v>
      <v t="s">_Icon</v>
      <v t="s">_Display</v>
      <v t="s">Name</v>
      <v t="s">Price</v>
      <v t="s">Exchange</v>
      <v t="s">_SubLabel</v>
      <v t="s">Last trade time</v>
      <v t="s">Ticker symbol</v>
      <v t="s">Exchange abbreviation</v>
      <v t="s">Change</v>
      <v t="s">Change (%)</v>
      <v t="s">Currency</v>
      <v t="s">Previous close</v>
      <v t="s">Open</v>
      <v t="s">High</v>
      <v t="s">Low</v>
      <v t="s">52 week high</v>
      <v t="s">52 week low</v>
      <v t="s">Volume</v>
      <v t="s">Instrument type</v>
      <v t="s">_Flags</v>
      <v t="s">UniqueName</v>
      <v t="s">_DisplayString</v>
      <v t="s">%ProviderInfo</v>
    </a>
    <a count="30">
      <v t="s">%EntityServiceId</v>
      <v t="s">_Format</v>
      <v t="s">%IsRefreshable</v>
      <v t="s">%EntityCulture</v>
      <v t="s">%EntityId</v>
      <v t="s">_Icon</v>
      <v t="s">_Display</v>
      <v t="s">Name</v>
      <v t="s">_SubLabel</v>
      <v t="s">Price</v>
      <v t="s">Exchange</v>
      <v t="s">Last trade time</v>
      <v t="s">Ticker symbol</v>
      <v t="s">Exchange abbreviation</v>
      <v t="s">Change</v>
      <v t="s">Change (%)</v>
      <v t="s">Currency</v>
      <v t="s">Previous close</v>
      <v t="s">Open</v>
      <v t="s">High</v>
      <v t="s">Low</v>
      <v t="s">52 week high</v>
      <v t="s">52 week low</v>
      <v t="s">Volume</v>
      <v t="s">Instrument type</v>
      <v t="s">_Flags</v>
      <v t="s">UniqueName</v>
      <v t="s">_DisplayString</v>
      <v t="s">LearnMoreOnLink</v>
      <v t="s">%ProviderInfo</v>
    </a>
    <a count="43">
      <v t="s">%EntityServiceId</v>
      <v t="s">_Format</v>
      <v t="s">%IsRefreshable</v>
      <v t="s">%EntityCulture</v>
      <v t="s">%EntityId</v>
      <v t="s">_Icon</v>
      <v t="s">_Display</v>
      <v t="s">Name</v>
      <v t="s">_SubLabel</v>
      <v t="s">Price</v>
      <v t="s">Exchange</v>
      <v t="s">Official name</v>
      <v t="s">Last trade time</v>
      <v t="s">Ticker symbol</v>
      <v t="s">Exchange abbreviation</v>
      <v t="s">Change</v>
      <v t="s">Change (%)</v>
      <v t="s">Currency</v>
      <v t="s">Previous close</v>
      <v t="s">Open</v>
      <v t="s">High</v>
      <v t="s">Low</v>
      <v t="s">52 week high</v>
      <v t="s">52 week low</v>
      <v t="s">Volume</v>
      <v t="s">Volume average</v>
      <v t="s">Market cap</v>
      <v t="s">Beta</v>
      <v t="s">P/E</v>
      <v t="s">Shares outstanding</v>
      <v t="s">Description</v>
      <v t="s">Employees</v>
      <v t="s">Headquarters</v>
      <v t="s">Industry</v>
      <v t="s">Instrument type</v>
      <v t="s">Year incorporated</v>
      <v t="s">_Flags</v>
      <v t="s">UniqueName</v>
      <v t="s">_DisplayString</v>
      <v t="s">LearnMoreOnLink</v>
      <v t="s">Image</v>
      <v t="s">ExchangeID</v>
      <v t="s">%ProviderInfo</v>
    </a>
    <a count="27">
      <v t="s">%EntityServiceId</v>
      <v t="s">_Format</v>
      <v t="s">%IsRefreshable</v>
      <v t="s">%EntityCulture</v>
      <v t="s">%EntityId</v>
      <v t="s">_Icon</v>
      <v t="s">_Display</v>
      <v t="s">Name</v>
      <v t="s">Price</v>
      <v t="s">_SubLabel</v>
      <v t="s">Last trade time</v>
      <v t="s">Ticker symbol</v>
      <v t="s">Change</v>
      <v t="s">Change (%)</v>
      <v t="s">Currency</v>
      <v t="s">From currency</v>
      <v t="s">Previous close</v>
      <v t="s">Open</v>
      <v t="s">High</v>
      <v t="s">Low</v>
      <v t="s">52 week high</v>
      <v t="s">52 week low</v>
      <v t="s">Instrument type</v>
      <v t="s">_Flags</v>
      <v t="s">UniqueName</v>
      <v t="s">_DisplayString</v>
      <v t="s">%ProviderInfo</v>
    </a>
  </spbArrays>
  <spbData count="23">
    <spb s="0">
      <v>0</v>
      <v>Name</v>
    </spb>
    <spb s="1">
      <v>0</v>
      <v>0</v>
      <v>0</v>
    </spb>
    <spb s="2">
      <v>1</v>
      <v>1</v>
    </spb>
    <spb s="3">
      <v>1</v>
      <v>2</v>
      <v>1</v>
      <v>3</v>
      <v>1</v>
      <v>1</v>
      <v>1</v>
      <v>4</v>
      <v>5</v>
      <v>6</v>
      <v>1</v>
      <v>1</v>
      <v>5</v>
      <v>1</v>
      <v>7</v>
      <v>8</v>
    </spb>
    <spb s="4">
      <v>from previous close</v>
      <v>from previous close</v>
      <v>GMT</v>
    </spb>
    <spb s="5">
      <v>1</v>
      <v>Name</v>
      <v>LearnMoreOnLink</v>
    </spb>
    <spb s="6">
      <v>1</v>
      <v>1</v>
      <v>1</v>
      <v>1</v>
    </spb>
    <spb s="7">
      <v>1</v>
      <v>2</v>
      <v>2</v>
      <v>1</v>
      <v>3</v>
      <v>1</v>
      <v>1</v>
      <v>1</v>
      <v>4</v>
      <v>4</v>
      <v>5</v>
      <v>6</v>
      <v>1</v>
      <v>1</v>
      <v>1</v>
      <v>4</v>
      <v>7</v>
      <v>9</v>
      <v>8</v>
      <v>4</v>
    </spb>
    <spb s="8">
      <v>Delayed 20 minutes</v>
      <v>from previous close</v>
      <v>from previous close</v>
      <v>GMT</v>
    </spb>
    <spb s="0">
      <v>2</v>
      <v>Name</v>
    </spb>
    <spb s="9">
      <v>1</v>
      <v>1</v>
      <v>3</v>
      <v>1</v>
      <v>1</v>
      <v>1</v>
      <v>4</v>
      <v>5</v>
      <v>1</v>
      <v>1</v>
      <v>1</v>
      <v>7</v>
      <v>8</v>
    </spb>
    <spb s="5">
      <v>3</v>
      <v>Name</v>
      <v>LearnMoreOnLink</v>
    </spb>
    <spb s="10">
      <v>1</v>
      <v>1</v>
      <v>1</v>
    </spb>
    <spb s="7">
      <v>10</v>
      <v>2</v>
      <v>2</v>
      <v>10</v>
      <v>3</v>
      <v>10</v>
      <v>10</v>
      <v>10</v>
      <v>4</v>
      <v>4</v>
      <v>5</v>
      <v>11</v>
      <v>10</v>
      <v>10</v>
      <v>10</v>
      <v>4</v>
      <v>7</v>
      <v>9</v>
      <v>8</v>
      <v>4</v>
    </spb>
    <spb s="11">
      <v>Real-Time Nasdaq Last Sale</v>
      <v>from previous close</v>
      <v>from previous close</v>
      <v>Source: Nasdaq Last Sale</v>
      <v>GMT</v>
    </spb>
    <spb s="5">
      <v>4</v>
      <v>Name</v>
      <v>LearnMoreOnLink</v>
    </spb>
    <spb s="12">
      <v>0</v>
      <v>0</v>
    </spb>
    <spb s="13">
      <v>16</v>
      <v>1</v>
      <v>1</v>
      <v>1</v>
      <v>1</v>
    </spb>
    <spb s="14">
      <v>10</v>
      <v>2</v>
      <v>2</v>
      <v>10</v>
      <v>3</v>
      <v>10</v>
      <v>12</v>
      <v>10</v>
      <v>10</v>
      <v>4</v>
      <v>4</v>
      <v>5</v>
      <v>11</v>
      <v>10</v>
      <v>10</v>
      <v>10</v>
      <v>4</v>
      <v>7</v>
      <v>9</v>
      <v>8</v>
      <v>4</v>
    </spb>
    <spb s="15">
      <v>Powered by Refinitiv</v>
    </spb>
    <spb s="0">
      <v>5</v>
      <v>Name</v>
    </spb>
    <spb s="16">
      <v>1</v>
      <v>1</v>
      <v>3</v>
      <v>1</v>
      <v>1</v>
      <v>1</v>
      <v>5</v>
      <v>1</v>
      <v>1</v>
      <v>1</v>
      <v>7</v>
      <v>8</v>
    </spb>
    <spb s="17">
      <v>GMT</v>
    </spb>
  </spbData>
</supportingPropertyBags>
</file>

<file path=xl/richData/rdsupportingpropertybagstructure.xml><?xml version="1.0" encoding="utf-8"?>
<spbStructures xmlns="http://schemas.microsoft.com/office/spreadsheetml/2017/richdata2" count="18">
  <s>
    <k n="^Order" t="spba"/>
    <k n="TitleProperty" t="s"/>
  </s>
  <s>
    <k n="ShowInCardView" t="b"/>
    <k n="ShowInDotNotation" t="b"/>
    <k n="ShowInAutoComplete" t="b"/>
  </s>
  <s>
    <k n="UniqueName" t="spb"/>
    <k n="`%ProviderInfo" t="spb"/>
  </s>
  <s>
    <k n="Low" t="i"/>
    <k n="Beta" t="i"/>
    <k n="High" t="i"/>
    <k n="Name" t="i"/>
    <k n="Open" t="i"/>
    <k n="Price" t="i"/>
    <k n="Change" t="i"/>
    <k n="Volume" t="i"/>
    <k n="Change (%)" t="i"/>
    <k n="Market cap" t="i"/>
    <k n="52 week low" t="i"/>
    <k n="52 week high" t="i"/>
    <k n="Expense ratio" t="i"/>
    <k n="Previous close" t="i"/>
    <k n="Last trade time" t="i"/>
    <k n="`%EntityServiceId" t="i"/>
  </s>
  <s>
    <k n="Change" t="s"/>
    <k n="Change (%)" t="s"/>
    <k n="Last trade time" t="s"/>
  </s>
  <s>
    <k n="^Order" t="spba"/>
    <k n="TitleProperty" t="s"/>
    <k n="SubTitleProperty" t="s"/>
  </s>
  <s>
    <k n="ExchangeID" t="spb"/>
    <k n="UniqueName" t="spb"/>
    <k n="`%ProviderInfo" t="spb"/>
    <k n="LearnMoreOnLink" t="spb"/>
  </s>
  <s>
    <k n="Low" t="i"/>
    <k n="P/E" t="i"/>
    <k n="Beta" t="i"/>
    <k n="High" t="i"/>
    <k n="Name" t="i"/>
    <k n="Open" t="i"/>
    <k n="Price" t="i"/>
    <k n="Change" t="i"/>
    <k n="Volume" t="i"/>
    <k n="Employees" t="i"/>
    <k n="Change (%)" t="i"/>
    <k n="Market cap" t="i"/>
    <k n="52 week low" t="i"/>
    <k n="52 week high" t="i"/>
    <k n="Previous close" t="i"/>
    <k n="Volume average" t="i"/>
    <k n="Last trade time" t="i"/>
    <k n="Year incorporated" t="i"/>
    <k n="`%EntityServiceId" t="i"/>
    <k n="Shares outstanding" t="i"/>
  </s>
  <s>
    <k n="Price" t="s"/>
    <k n="Change" t="s"/>
    <k n="Change (%)" t="s"/>
    <k n="Last trade time" t="s"/>
  </s>
  <s>
    <k n="Low" t="i"/>
    <k n="High" t="i"/>
    <k n="Name" t="i"/>
    <k n="Open" t="i"/>
    <k n="Price" t="i"/>
    <k n="Change" t="i"/>
    <k n="Volume" t="i"/>
    <k n="Change (%)" t="i"/>
    <k n="52 week low" t="i"/>
    <k n="52 week high" t="i"/>
    <k n="Previous close" t="i"/>
    <k n="Last trade time" t="i"/>
    <k n="`%EntityServiceId" t="i"/>
  </s>
  <s>
    <k n="UniqueName" t="spb"/>
    <k n="`%ProviderInfo" t="spb"/>
    <k n="LearnMoreOnLink" t="spb"/>
  </s>
  <s>
    <k n="Price" t="s"/>
    <k n="Change" t="s"/>
    <k n="Change (%)" t="s"/>
    <k n="ExchangeID" t="s"/>
    <k n="Last trade time" t="s"/>
  </s>
  <s>
    <k n="ShowInDotNotation" t="b"/>
    <k n="ShowInAutoComplete" t="b"/>
  </s>
  <s>
    <k n="Image" t="spb"/>
    <k n="ExchangeID" t="spb"/>
    <k n="UniqueName" t="spb"/>
    <k n="`%ProviderInfo" t="spb"/>
    <k n="LearnMoreOnLink" t="spb"/>
  </s>
  <s>
    <k n="Low" t="i"/>
    <k n="P/E" t="i"/>
    <k n="Beta" t="i"/>
    <k n="High" t="i"/>
    <k n="Name" t="i"/>
    <k n="Open" t="i"/>
    <k n="Image" t="i"/>
    <k n="Price" t="i"/>
    <k n="Change" t="i"/>
    <k n="Volume" t="i"/>
    <k n="Employees" t="i"/>
    <k n="Change (%)" t="i"/>
    <k n="Market cap" t="i"/>
    <k n="52 week low" t="i"/>
    <k n="52 week high" t="i"/>
    <k n="Previous close" t="i"/>
    <k n="Volume average" t="i"/>
    <k n="Last trade time" t="i"/>
    <k n="Year incorporated" t="i"/>
    <k n="`%EntityServiceId" t="i"/>
    <k n="Shares outstanding" t="i"/>
  </s>
  <s>
    <k n="name" t="s"/>
  </s>
  <s>
    <k n="Low" t="i"/>
    <k n="High" t="i"/>
    <k n="Name" t="i"/>
    <k n="Open" t="i"/>
    <k n="Price" t="i"/>
    <k n="Change" t="i"/>
    <k n="Change (%)" t="i"/>
    <k n="52 week low" t="i"/>
    <k n="52 week high" t="i"/>
    <k n="Previous close" t="i"/>
    <k n="Last trade time" t="i"/>
    <k n="`%EntityServiceId" t="i"/>
  </s>
  <s>
    <k n="Last trade time"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7">
    <x:dxf>
      <x:numFmt numFmtId="0" formatCode="General"/>
    </x:dxf>
    <x:dxf>
      <x:numFmt numFmtId="14" formatCode="0.00%"/>
    </x:dxf>
    <x:dxf>
      <x:numFmt numFmtId="27" formatCode="yyyy/mm/dd\ h:mm"/>
    </x:dxf>
    <x:dxf>
      <x:numFmt numFmtId="2" formatCode="0.00"/>
    </x:dxf>
    <x:dxf>
      <x:numFmt numFmtId="3" formatCode="#,##0"/>
    </x:dxf>
    <x:dxf>
      <x:numFmt numFmtId="4" formatCode="#,##0.00"/>
    </x:dxf>
    <x:dxf>
      <x:numFmt numFmtId="1" formatCode="0"/>
    </x:dxf>
  </dxfs>
  <richProperties>
    <rPr n="NumberFormat" t="s"/>
    <rPr n="IsTitleField" t="b"/>
    <rPr n="IsHeroField" t="b"/>
  </richProperties>
  <richStyles>
    <rSty dxfid="0">
      <rpv i="0">_-[$$-en-CA]* #,##0.00_-;-[$$-en-CA]* #,##0.00_-;_-[$$-en-CA]* "-"??_-;_-@_-</rpv>
    </rSty>
    <rSty dxfid="5">
      <rpv i="0">#,##0.00</rpv>
    </rSty>
    <rSty>
      <rpv i="1">1</rpv>
    </rSty>
    <rSty dxfid="4">
      <rpv i="0">#,##0</rpv>
    </rSty>
    <rSty dxfid="1"/>
    <rSty dxfid="0">
      <rpv i="0">_-[$$-en-CA]* #,##0_-;-[$$-en-CA]* #,##0_-;_-[$$-en-CA]* "-"_-;_-@_-</rpv>
    </rSty>
    <rSty dxfid="2"/>
    <rSty dxfid="3">
      <rpv i="0">0.00</rpv>
    </rSty>
    <rSty dxfid="6">
      <rpv i="0">0</rpv>
    </rSty>
    <rSty dxfid="0">
      <rpv i="0">_([$$-en-US]* #,##0.00_);_([$$-en-US]* (#,##0.00);_([$$-en-US]* "-"??_);_(@_)</rpv>
    </rSty>
    <rSty dxfid="0">
      <rpv i="0">_([$$-en-US]* #,##0_);_([$$-en-US]* (#,##0);_([$$-en-US]* "-"_);_(@_)</rpv>
    </rSty>
    <rSty>
      <rpv i="2">1</rpv>
    </rSty>
  </richStyles>
</richStyleSheet>
</file>

<file path=xl/tables/_rels/table3.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1D32350-AA74-4E96-B68E-4633DF8A63DA}" name="R_FS3" displayName="R_FS3" ref="B3:H275" totalsRowShown="0" headerRowDxfId="373" dataDxfId="372">
  <autoFilter ref="B3:H275" xr:uid="{8ACCF99A-EA24-4C21-91BC-962C47D85112}">
    <filterColumn colId="0">
      <filters blank="1">
        <filter val="1"/>
      </filters>
    </filterColumn>
  </autoFilter>
  <tableColumns count="7">
    <tableColumn id="1" xr3:uid="{309246A3-0763-4613-A7F2-70496DBEAEB8}" name="PRINT" dataDxfId="371">
      <calculatedColumnFormula>IF(#REF!+#REF!=0,0,1)</calculatedColumnFormula>
    </tableColumn>
    <tableColumn id="2" xr3:uid="{EBA58CDA-7517-47FD-8252-A56B84F5B97F}" name="IFSL" dataDxfId="370"/>
    <tableColumn id="3" xr3:uid="{9C2F3B5D-4E00-48AE-9100-F0C934799563}" name=" " dataDxfId="369"/>
    <tableColumn id="13" xr3:uid="{E8C6B8C7-69B6-47FC-AC35-7F6AB187A6FF}" name=" 2" dataDxfId="368" dataCellStyle="Normal 7 2">
      <calculatedColumnFormula>#REF!</calculatedColumnFormula>
    </tableColumn>
    <tableColumn id="6" xr3:uid="{C79469C1-7788-4601-B85D-DFC33951DDDA}" name=" 3" dataDxfId="367"/>
    <tableColumn id="7" xr3:uid="{CE9129DF-4A72-453A-8B3F-BE35F3824760}" name=" 4" dataDxfId="366">
      <calculatedColumnFormula>#REF!*-1</calculatedColumnFormula>
    </tableColumn>
    <tableColumn id="8" xr3:uid="{153E9F1D-56CA-42B9-A649-EBF30A0A1066}" name=" 5" dataDxfId="365">
      <calculatedColumnFormula>#REF!*-1</calculatedColumnFormula>
    </tableColumn>
  </tableColumns>
  <tableStyleInfo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C15C8231-00BB-4842-8D70-5E68FB36E703}" name="R_FS" displayName="R_FS" ref="B3:T269" totalsRowShown="0" headerRowDxfId="364" dataDxfId="363">
  <autoFilter ref="B3:T269" xr:uid="{8ACCF99A-EA24-4C21-91BC-962C47D85112}">
    <filterColumn colId="0">
      <filters blank="1">
        <filter val="1"/>
      </filters>
    </filterColumn>
  </autoFilter>
  <tableColumns count="19">
    <tableColumn id="1" xr3:uid="{3B504B82-8341-45FF-B09B-B63E452FB268}" name="PRINT" dataDxfId="362">
      <calculatedColumnFormula>IF(#REF!+#REF!=0,0,1)</calculatedColumnFormula>
    </tableColumn>
    <tableColumn id="2" xr3:uid="{CEB85A30-CEAD-42C4-B50D-240C24968F86}" name="IFSL" dataDxfId="361"/>
    <tableColumn id="3" xr3:uid="{D4B1CD5F-9513-40A7-B949-904EDCC08899}" name="ACCOUNT" dataDxfId="360"/>
    <tableColumn id="4" xr3:uid="{DC579D14-8AE4-400A-BED5-D6014D517149}" name="TB 1" dataDxfId="359"/>
    <tableColumn id="5" xr3:uid="{7D0A21DC-379E-4BF8-AA25-C49C906DA89E}" name="TB 2" dataDxfId="358"/>
    <tableColumn id="13" xr3:uid="{F7BA3939-8BFF-447E-A84E-4E0774A365FE}" name="Cost" dataDxfId="357" dataCellStyle="Normal 7 2">
      <calculatedColumnFormula>E9</calculatedColumnFormula>
    </tableColumn>
    <tableColumn id="6" xr3:uid="{7FDAA513-25EF-48ED-A1FE-B94AF736FDE1}" name="Accumulated amortization" dataDxfId="356"/>
    <tableColumn id="7" xr3:uid="{0A5CA0D3-8B15-4233-9554-16A50DD5D810}" name="CY" dataDxfId="355">
      <calculatedColumnFormula>E4*-1</calculatedColumnFormula>
    </tableColumn>
    <tableColumn id="8" xr3:uid="{C6C43D80-B249-4B68-A2F3-777306072E9B}" name="PY" dataDxfId="354">
      <calculatedColumnFormula>F4*-1</calculatedColumnFormula>
    </tableColumn>
    <tableColumn id="9" xr3:uid="{F10F7341-656F-4376-8DE7-55F141A45071}" name="PY2" dataDxfId="353"/>
    <tableColumn id="10" xr3:uid="{9E9CABBA-9771-4D10-85A3-CBAC36A24A8A}" name="PY3" dataDxfId="352"/>
    <tableColumn id="11" xr3:uid="{C45BD393-5A05-4739-A8D4-0534BD45A4A1}" name="PY4" dataDxfId="351"/>
    <tableColumn id="12" xr3:uid="{EEF8265D-E11F-42D0-95C5-C5C42D49405F}" name="PY5" dataDxfId="350"/>
    <tableColumn id="15" xr3:uid="{858A1D66-6CFD-4722-8A9F-52E1EE5BE53F}" name="Column2" dataDxfId="349"/>
    <tableColumn id="14" xr3:uid="{AEF66260-CACD-4245-B2AE-140A780AB8F4}" name="Column3" dataDxfId="348"/>
    <tableColumn id="16" xr3:uid="{7DE50C51-5D30-441A-9475-1CDCAADA1EAE}" name="Column4" dataDxfId="347"/>
    <tableColumn id="17" xr3:uid="{18E4F528-0C07-40BC-9592-5BAF30963526}" name="Column5" dataDxfId="346"/>
    <tableColumn id="18" xr3:uid="{35B3F414-E550-46F3-8C30-8A959CB7E956}" name="Column6" dataDxfId="345"/>
    <tableColumn id="19" xr3:uid="{12B29A2E-9E41-439B-B69B-121B2482873C}" name="Column7" dataDxfId="344"/>
  </tableColumns>
  <tableStyleInfo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1CD1C3B1-C334-401D-BA3F-38DA204F3865}" name="TB_FS" displayName="TB_FS" ref="B8:I118" tableType="queryTable" totalsRowShown="0">
  <autoFilter ref="B8:I118" xr:uid="{1CD1C3B1-C334-401D-BA3F-38DA204F3865}"/>
  <tableColumns count="8">
    <tableColumn id="1" xr3:uid="{FFA76F1A-8AEC-4002-9DFB-3E1E16291CC8}" uniqueName="1" name="IFSL" queryTableFieldId="1" dataDxfId="343"/>
    <tableColumn id="2" xr3:uid="{2FC7D2FE-C678-45F2-B6BB-167CCF41BC02}" uniqueName="2" name="FS_LINE" queryTableFieldId="2" dataDxfId="342"/>
    <tableColumn id="3" xr3:uid="{926AD831-693A-4F92-A1EE-A3F9ED582F3F}" uniqueName="3" name="Total CY" queryTableFieldId="3"/>
    <tableColumn id="4" xr3:uid="{7F0E7F3C-F10B-4DB3-8139-DB61F57A600D}" uniqueName="4" name="Total PY1" queryTableFieldId="4"/>
    <tableColumn id="5" xr3:uid="{6194A642-D008-45AA-A3F5-2A39EE8CD480}" uniqueName="5" name="Total PY2" queryTableFieldId="5"/>
    <tableColumn id="6" xr3:uid="{7E514B00-7CAA-47BE-B1F8-65134D2C21DD}" uniqueName="6" name="Total PY3" queryTableFieldId="6"/>
    <tableColumn id="7" xr3:uid="{1D4AF8AC-8EC3-4E84-9150-C1CBF251C31B}" uniqueName="7" name="Total PY4" queryTableFieldId="7"/>
    <tableColumn id="8" xr3:uid="{C418D9C6-69D3-40ED-9C74-43E1FA5EFD4D}" uniqueName="8" name="Total PY5" queryTableFieldId="8"/>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F1168852-86C8-4513-8082-49B8C86BA5E2}" name="R_BNKREC" displayName="R_BNKREC" ref="B13:G34" totalsRowShown="0" headerRowDxfId="336">
  <autoFilter ref="B13:G34" xr:uid="{F1168852-86C8-4513-8082-49B8C86BA5E2}"/>
  <tableColumns count="6">
    <tableColumn id="1" xr3:uid="{72BEDD51-89D7-4DF2-A800-B31B1A284735}" name=" "/>
    <tableColumn id="2" xr3:uid="{AD0ADD59-4123-4EBA-ACC5-52E2C13CCE3C}" name="Column1"/>
    <tableColumn id="5" xr3:uid="{67A3719B-6F8A-4B4F-A57B-305377F2DBB5}" name="Column12"/>
    <tableColumn id="3" xr3:uid="{FAB839FD-B7DE-4BA5-B319-0AFB9FBB75C7}" name="Column2" dataDxfId="335"/>
    <tableColumn id="4" xr3:uid="{1DBE471E-8B66-4B5E-AED7-2BA26DD1FA8F}" name="Column3" dataDxfId="334"/>
    <tableColumn id="6" xr3:uid="{ED37FB2B-0746-424F-9A44-32DA8862861E}" name="Column4"/>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A64E0018-11BB-40C8-8E75-25D40976ED30}" name="R_OSCKS" displayName="R_OSCKS" ref="B44:F60" totalsRowShown="0" headerRowDxfId="333" dataDxfId="332">
  <autoFilter ref="B44:F60" xr:uid="{A64E0018-11BB-40C8-8E75-25D40976ED30}"/>
  <tableColumns count="5">
    <tableColumn id="5" xr3:uid="{B02805D4-AB89-4302-9474-0FD220495044}" name=" " dataDxfId="331"/>
    <tableColumn id="1" xr3:uid="{0A65FC33-4AA6-40F1-838E-17C89AC2C672}" name="CHEQUE #" dataDxfId="330">
      <calculatedColumnFormula>IFERROR(VLOOKUP(B45,CD!#REF!,4,0),0)</calculatedColumnFormula>
    </tableColumn>
    <tableColumn id="2" xr3:uid="{5DA352CE-48B4-4FAB-AF18-95AC2C0C9CE3}" name="PAYEE" dataDxfId="329">
      <calculatedColumnFormula>IFERROR(VLOOKUP(B45,CD!#REF!,6,0),0)</calculatedColumnFormula>
    </tableColumn>
    <tableColumn id="3" xr3:uid="{690C15A2-EAF6-469E-B80B-B269E42BF5C1}" name="DATE" dataDxfId="328">
      <calculatedColumnFormula>IFERROR(VLOOKUP(B45,CD!#REF!,2,0)," ")</calculatedColumnFormula>
    </tableColumn>
    <tableColumn id="4" xr3:uid="{117772FE-956E-446A-995B-9A120309D13B}" name="AMOUNT" dataDxfId="327"/>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EC9130B4-B96C-42B2-B5E2-9EC51111FAAB}" name="R_OS_DEPOSITS" displayName="R_OS_DEPOSITS" ref="B37:F41" totalsRowShown="0">
  <autoFilter ref="B37:F41" xr:uid="{EC9130B4-B96C-42B2-B5E2-9EC51111FAAB}"/>
  <tableColumns count="5">
    <tableColumn id="1" xr3:uid="{99DD854B-BF66-4FA5-B283-05FD66B4498B}" name="O/S DEPOSIT"/>
    <tableColumn id="2" xr3:uid="{5530B4A2-DF4B-4BEA-B6E5-8E9D9E433EA0}" name="REF" dataDxfId="326">
      <calculatedColumnFormula array="1">IFERROR(_xlfn.XLOOKUP(B38,CR!#REF!,CR!D$6:$D18,0),0)</calculatedColumnFormula>
    </tableColumn>
    <tableColumn id="3" xr3:uid="{04106075-14C3-44B3-B77F-A4DDD973662C}" name="RECEIPT" dataDxfId="325">
      <calculatedColumnFormula array="1">IFERROR(_xlfn.XLOOKUP(B38,CR!#REF!,CR!$F$6:F18,0)," ")</calculatedColumnFormula>
    </tableColumn>
    <tableColumn id="4" xr3:uid="{6EA0196E-0BC1-4F37-B180-449BABDC5FEC}" name="DATE" dataDxfId="324">
      <calculatedColumnFormula array="1">IF(F38=0," ",(_xlfn.XLOOKUP(B38,CR!#REF!,CR!$C$6:C18,0)))</calculatedColumnFormula>
    </tableColumn>
    <tableColumn id="5" xr3:uid="{53E572B2-B5E6-4D2C-8107-BD6C11EC4B22}" name="AMOUNT" dataDxfId="323">
      <calculatedColumnFormula array="1">IFERROR(_xlfn.XLOOKUP(B38,CR!#REF!,CR!$G$6:G18,0),0)</calculatedColumnFormula>
    </tableColum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69E80058-D3B6-4FBC-95ED-E070805F61BB}" name="Table24" displayName="Table24" ref="G21:M55" totalsRowShown="0" headerRowBorderDxfId="322" dataCellStyle="Normal 10">
  <autoFilter ref="G21:M55" xr:uid="{69E80058-D3B6-4FBC-95ED-E070805F61BB}">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1F6E2BEF-73CC-4F7D-9B6F-81A95854E6DD}" name="HOLDING_x000a_ REF" dataCellStyle="Normal 10"/>
    <tableColumn id="2" xr3:uid="{F3997C7B-F255-4571-ACF4-9B58C41EF4B8}" name="SYMBOL" dataCellStyle="Normal 10"/>
    <tableColumn id="3" xr3:uid="{1C8C19C4-CB6F-425D-A1F5-A161A0079818}" name="QTY" dataCellStyle="Normal 10"/>
    <tableColumn id="4" xr3:uid="{0662EBB3-907C-4FCE-89AA-024C4A1238FD}" name="ACB" dataCellStyle="Normal 10"/>
    <tableColumn id="5" xr3:uid="{9E33A27C-1423-4512-B421-94A8E9B43569}" name="MKT" dataDxfId="321" dataCellStyle="Normal 10">
      <calculatedColumnFormula array="1">_FV(#REF!,"Price")</calculatedColumnFormula>
    </tableColumn>
    <tableColumn id="6" xr3:uid="{25E42F8E-D433-4615-99F1-97AD5E58B588}" name="HOLDING_x000a_GAIN_x000a_(LOSS)" dataDxfId="320" dataCellStyle="Normal 10">
      <calculatedColumnFormula>SUM(L18:L20)</calculatedColumnFormula>
    </tableColumn>
    <tableColumn id="7" xr3:uid="{7B5F84E7-DDAD-459A-9BA7-D7274A1FF865}" name="MKT _x000a_VALUE" dataDxfId="319" dataCellStyle="Normal 10">
      <calculatedColumnFormula>Table24[[#This Row],[HOLDING
GAIN
(LOSS)]]-Table24[[#This Row],[ACB]]</calculatedColumnFormula>
    </tableColumn>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A74FBD1-16ED-4798-8043-8D62DD667FEB}" name="Table1" displayName="Table1" ref="G24:P64" totalsRowShown="0" headerRowDxfId="318" headerRowCellStyle="Normal 3" dataCellStyle="Normal 10">
  <autoFilter ref="G24:P64" xr:uid="{4A74FBD1-16ED-4798-8043-8D62DD667FEB}"/>
  <tableColumns count="10">
    <tableColumn id="1" xr3:uid="{ED20B829-FC7D-44AD-A927-83FFAB7B6B8D}" name="SALE_x000a_ REF" dataCellStyle="Normal 10"/>
    <tableColumn id="2" xr3:uid="{6B97D3A8-ED2D-43BB-9BD7-74443AA29726}" name="SYMBOL" dataCellStyle="Normal 10"/>
    <tableColumn id="3" xr3:uid="{B1A8320B-D3CA-4C48-B1C3-A9035C0C266F}" name="GAIN" dataCellStyle="Normal 10"/>
    <tableColumn id="4" xr3:uid="{EFDA8249-D63F-49A9-B035-66E207293CAB}" name="LOSS" dataCellStyle="Normal 10"/>
    <tableColumn id="5" xr3:uid="{6481CB20-7E71-4375-97DF-96A4438C0CDB}" name="DAYS_x000a_HELD" dataCellStyle="Normal 10"/>
    <tableColumn id="6" xr3:uid="{4721B99A-017F-402A-B6A7-25089C5CDC8E}" name="YIELD" dataDxfId="317" dataCellStyle="Normal 10"/>
    <tableColumn id="7" xr3:uid="{D3496AAE-D54C-41FB-BDBA-15EB60F11342}" name="QTY" dataCellStyle="Normal 10"/>
    <tableColumn id="8" xr3:uid="{E9CA8215-B047-47DE-BB23-B23264B5C132}" name="PROCEEDES" dataCellStyle="Normal 10"/>
    <tableColumn id="9" xr3:uid="{99B253DB-FCA4-4B03-AB40-30F8AE819F60}" name="ACB" dataCellStyle="Normal 10"/>
    <tableColumn id="10" xr3:uid="{D60EA1AD-BCF7-4317-AB4C-B5B2956C6F2F}" name="GAIN_x000a_(LOSS)" dataDxfId="316" dataCellStyle="Normal 10"/>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4A2BF20A-1EA9-4C65-8615-098D0524E722}" name="R_AR_LISTING42" displayName="R_AR_LISTING42" ref="E17:J33" totalsRowShown="0" headerRowDxfId="315" dataDxfId="314">
  <autoFilter ref="E17:J33" xr:uid="{4A2BF20A-1EA9-4C65-8615-098D0524E722}"/>
  <tableColumns count="6">
    <tableColumn id="8" xr3:uid="{5244F75F-1657-4382-9FA2-21F128616201}" name="COUNT2" dataDxfId="313" dataCellStyle="Normal 10">
      <calculatedColumnFormula>IFERROR(INDEX(SJ!$C$9:$C$35,MATCH(#REF!,SJ!$A$9:$A$35,0)),"")</calculatedColumnFormula>
    </tableColumn>
    <tableColumn id="6" xr3:uid="{BD48EA21-F5BB-428D-8BF5-93C0A9E00D35}" name="REF" dataDxfId="312" dataCellStyle="Normal 10"/>
    <tableColumn id="1" xr3:uid="{9E4A331B-1BFD-496E-98BE-66EE723B6A90}" name="DATE" dataDxfId="311" dataCellStyle="Normal 10">
      <calculatedColumnFormula>IFERROR(INDEX(SJ!$G$9:$G$35,MATCH(E18,SJ!$A$9:$A$35,0)),"")</calculatedColumnFormula>
    </tableColumn>
    <tableColumn id="7" xr3:uid="{00F94A9B-A673-4455-9C6E-64B88913D29F}" name="AR ACCOUNT" dataDxfId="310" dataCellStyle="Normal 10"/>
    <tableColumn id="4" xr3:uid="{1AC19923-C3CA-474B-9470-A032893C1CB0}" name="INVOICE DESCRIPTION" dataDxfId="309"/>
    <tableColumn id="5" xr3:uid="{939ACE48-0F42-4402-9FA6-B2842B25BE3E}" name="AMOUNT" dataDxfId="308"/>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6815808-505E-416B-88D1-854BC730C301}" name="WS_CAPASSETS5" displayName="WS_CAPASSETS5" ref="B11:T48" totalsRowShown="0" headerRowDxfId="307" dataDxfId="306" headerRowCellStyle="Normal 2">
  <autoFilter ref="B11:T48" xr:uid="{13C00321-3344-4AA2-8D49-4C42EE9ED46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autoFilter>
  <tableColumns count="19">
    <tableColumn id="9" xr3:uid="{051E7379-C73A-4AD8-A044-CBB0F217CABB}" name="Match_x000a_Cost" dataDxfId="305"/>
    <tableColumn id="18" xr3:uid="{6258ED63-BA2C-4F0A-A610-36115F37E1AA}" name="Match  _x000a_Acc Amort" dataDxfId="304"/>
    <tableColumn id="19" xr3:uid="{3ED08811-7258-40E1-890C-0DEF2AF901D5}" name="Accumulated Amortization_x000a_G/L Account" dataDxfId="303"/>
    <tableColumn id="20" xr3:uid="{63649EDA-7994-4621-BAB5-D37F1EF548CC}" name="                                  " dataDxfId="302" dataCellStyle="Normal 2"/>
    <tableColumn id="2" xr3:uid="{05D2F06C-0C8B-480D-A31F-45F65983DB51}" name="Diminishing Balance Method" dataDxfId="301" dataCellStyle="Normal 2"/>
    <tableColumn id="3" xr3:uid="{4C546C26-E091-4240-BB38-6F579EA5D36D}" name=" " dataDxfId="300" dataCellStyle="Normal 2"/>
    <tableColumn id="4" xr3:uid="{29F750A7-0569-41EA-99F9-414518C73A10}" name="Beginning_x000a_ of year" dataDxfId="299"/>
    <tableColumn id="5" xr3:uid="{FF4BECF5-7A41-46E0-A383-DA53964BECD8}" name="Additions" dataDxfId="298"/>
    <tableColumn id="6" xr3:uid="{B93DAB89-5CEE-4A2F-B303-2554666C32A4}" name="Disposals" dataDxfId="297"/>
    <tableColumn id="7" xr3:uid="{18E35CA5-AB0A-419C-A266-38C1EBDAB6C4}" name="End of year    " dataDxfId="296" dataCellStyle="Comma 2"/>
    <tableColumn id="8" xr3:uid="{464BD61E-68C1-4009-97A0-DCF502262C83}" name=" 2" dataDxfId="295" dataCellStyle="Normal 2"/>
    <tableColumn id="10" xr3:uid="{9BD11E84-82DE-419C-9CBA-8EF89EFDA6AB}" name="Beginning of year    " dataDxfId="294" dataCellStyle="Comma 2"/>
    <tableColumn id="11" xr3:uid="{5DAF627C-DAC2-4F7E-9B80-BB1E7563D3BB}" name="Disposals    " dataDxfId="293"/>
    <tableColumn id="12" xr3:uid="{CCF874CD-95DB-48C2-84AF-8C500777DF64}" name="Rate" dataDxfId="292"/>
    <tableColumn id="13" xr3:uid="{AEBA1056-4931-4D25-9850-C788F03AFD32}" name="12" dataDxfId="291"/>
    <tableColumn id="14" xr3:uid="{420652F7-3365-468C-A0B1-E61D49F48873}" name="End of Year                        " dataDxfId="290"/>
    <tableColumn id="15" xr3:uid="{7CBE6253-0C7D-49FE-AAFB-0E1AE354D320}" name=" 3" dataDxfId="289" dataCellStyle="Normal 2"/>
    <tableColumn id="16" xr3:uid="{F20FA76B-7EF9-4EF5-AB84-DCBA7838487A}" name="Current Year" dataDxfId="288"/>
    <tableColumn id="17" xr3:uid="{1F510D5A-3B79-4763-AB7E-817405A7AC02}" name="Prior Year" dataDxfId="287"/>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DB0DC521-4616-4032-856A-098AC2EFE44C}" name="R_AR_LISTING4219" displayName="R_AR_LISTING4219" ref="G21:K37" totalsRowShown="0" headerRowDxfId="286" dataDxfId="285">
  <autoFilter ref="G21:K37" xr:uid="{DB0DC521-4616-4032-856A-098AC2EFE44C}">
    <filterColumn colId="0" hiddenButton="1"/>
    <filterColumn colId="1" hiddenButton="1"/>
    <filterColumn colId="2" hiddenButton="1"/>
    <filterColumn colId="3" hiddenButton="1"/>
    <filterColumn colId="4" hiddenButton="1"/>
  </autoFilter>
  <tableColumns count="5">
    <tableColumn id="8" xr3:uid="{2CE3D75B-35DA-4B56-8FAA-99AC35642650}" name="COUNT" dataDxfId="284" dataCellStyle="Normal 10">
      <calculatedColumnFormula>IFERROR(INDEX(SJ!$C$9:$C$35,MATCH(#REF!,SJ!$A$9:$A$35,0)),"")</calculatedColumnFormula>
    </tableColumn>
    <tableColumn id="6" xr3:uid="{EED78DD0-735C-4033-8BCC-DBDEC8ED51E9}" name="REF" dataDxfId="283" dataCellStyle="Normal 10"/>
    <tableColumn id="1" xr3:uid="{A09600B5-36A8-4310-BB0D-462FE61DDD95}" name="DATE" dataDxfId="282" dataCellStyle="Normal 10">
      <calculatedColumnFormula>IFERROR(INDEX(PJ!$B$6:$B$19,MATCH(G22,PJ!$L$6:$L$19,0)),"")</calculatedColumnFormula>
    </tableColumn>
    <tableColumn id="7" xr3:uid="{20EB60EB-5B1F-43B0-8374-96B97EE3C8D2}" name="VENDOR" dataDxfId="281" dataCellStyle="Normal 10"/>
    <tableColumn id="5" xr3:uid="{87AA10A0-0D0A-4CE0-8158-E5647D15BDC1}" name="AMOUNT" dataDxfId="280"/>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AAA8FB1F-06EA-437B-A1A9-E86062B1FCFE}" name="DE_CR" displayName="DE_CR" ref="B6:K19" totalsRowShown="0" headerRowDxfId="279" dataDxfId="278" tableBorderDxfId="277">
  <autoFilter ref="B6:K19" xr:uid="{AAA8FB1F-06EA-437B-A1A9-E86062B1FCF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D3F2CB5B-8835-446A-A5B2-C97E2D79CA37}" name="INV#" dataDxfId="276"/>
    <tableColumn id="2" xr3:uid="{29CBAA4F-4FB0-4A69-9281-BF8DBD93762E}" name="DATE" dataDxfId="275"/>
    <tableColumn id="3" xr3:uid="{96F11F66-AAA4-45DE-9D01-D9424FFC4F73}" name="REF" dataDxfId="274"/>
    <tableColumn id="9" xr3:uid="{C6E98557-3884-4B74-80E5-1AB1F3738426}" name="SOURCE" dataDxfId="273"/>
    <tableColumn id="4" xr3:uid="{D61ED2D1-B26B-4E7F-9E83-600FC3B7166D}" name="PARTICULARS" dataDxfId="272"/>
    <tableColumn id="5" xr3:uid="{CB32A5A8-4285-483A-BC85-C1450E33CC73}" name="ACTIVITY" dataDxfId="271"/>
    <tableColumn id="6" xr3:uid="{4772CF79-D3E9-43AE-9C86-9B8F2CF0976C}" name="ACCOUNT" dataDxfId="270"/>
    <tableColumn id="7" xr3:uid="{B720DF30-83A6-41E4-B4F5-373EB5AC4A4A}" name="CLEARED" dataDxfId="269"/>
    <tableColumn id="11" xr3:uid="{2F550ED7-4BBB-4873-B3C2-FC8E465410FB}" name="O/S _x000a_DEPOSIT_x000a_REF" dataDxfId="268"/>
    <tableColumn id="8" xr3:uid="{60BE5C2F-2F93-4B3D-98CF-1967EBD287BD}" name="AMOUNT" dataDxfId="267"/>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74560F7B-FC3B-4CA1-B176-F5738EFBA0B3}" name="DE_PJ" displayName="DE_PJ" ref="B6:M20" totalsRowShown="0" headerRowDxfId="266" dataDxfId="265">
  <autoFilter ref="B6:M20" xr:uid="{0AFFBC71-3445-480A-B455-8BDE307FE499}">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9DF8F1A2-7F25-4302-975F-AD7F4A7C33A3}" name="DATE" dataDxfId="264"/>
    <tableColumn id="2" xr3:uid="{53002BD5-2C78-46EE-9C4F-3E8E7600E160}" name="REF" dataDxfId="263"/>
    <tableColumn id="4" xr3:uid="{539E6CF9-0EA3-4AB0-8A62-A86FF770E585}" name="SOURCE" dataDxfId="262"/>
    <tableColumn id="3" xr3:uid="{F14048DF-A460-447C-854F-45C8766C0B72}" name="PARTICULARS" dataDxfId="261"/>
    <tableColumn id="6" xr3:uid="{EFCC2F5C-1327-4213-BB13-7D3A7C804F29}" name="HST _x000a_Code" dataDxfId="260"/>
    <tableColumn id="7" xr3:uid="{10E9CBB0-5825-4F69-9EB5-854EF4D20B98}" name="TOTAL" dataDxfId="259"/>
    <tableColumn id="10" xr3:uid="{D4B6ABC7-498A-4FA2-A077-A605C6F0A267}" name="ACCOUNT" dataDxfId="258"/>
    <tableColumn id="11" xr3:uid="{CF6C7A00-C7B6-4B91-AD85-31B052CE1619}" name="HST" dataDxfId="257"/>
    <tableColumn id="12" xr3:uid="{89E187A6-4022-418F-B8F5-98D5E8A04AF2}" name="AMOUNT" dataDxfId="256"/>
    <tableColumn id="5" xr3:uid="{316E6B91-9FF5-4AC2-B979-06B8D7EAE938}" name="PAYMENT" dataDxfId="255"/>
    <tableColumn id="13" xr3:uid="{1F35A042-07F3-489D-8FDA-5F111739286D}" name="COUNT" dataDxfId="254"/>
    <tableColumn id="8" xr3:uid="{6C9AC327-C4F7-426D-858E-B16AEEB2802D}" name="BALANCE_x000a_DUE" dataDxfId="253"/>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AFFBC71-3445-480A-B455-8BDE307FE499}" name="DE_CCJ" displayName="DE_CCJ" ref="B8:J23" totalsRowShown="0" headerRowDxfId="252" dataDxfId="251">
  <autoFilter ref="B8:J23" xr:uid="{0AFFBC71-3445-480A-B455-8BDE307FE499}">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48D096EC-E492-4073-8D1F-2F2C1D60C283}" name="DATE" dataDxfId="250" totalsRowDxfId="249"/>
    <tableColumn id="2" xr3:uid="{084FEAE1-FB91-4893-8144-838486EB1BDA}" name="REF" dataDxfId="248" totalsRowDxfId="247"/>
    <tableColumn id="4" xr3:uid="{74D60758-23C8-4809-B0BE-05595FE1AD7A}" name="SOURCE" dataDxfId="246" totalsRowDxfId="245"/>
    <tableColumn id="3" xr3:uid="{7E07410E-7052-4E63-98C5-4B7D4EF5E746}" name="PARTICULARS" dataDxfId="244" totalsRowDxfId="243"/>
    <tableColumn id="6" xr3:uid="{6190A9E8-CCB1-4FE3-9436-06854625C7B0}" name="HST _x000a_Code" dataDxfId="242" totalsRowDxfId="241"/>
    <tableColumn id="7" xr3:uid="{EEE11056-05C9-4FB6-97F1-7A59A4F32B5D}" name="TOTAL" dataDxfId="240" totalsRowDxfId="239"/>
    <tableColumn id="10" xr3:uid="{37DF1B43-3425-4FE1-9E66-4CF922A4655D}" name="ACCOUNT" dataDxfId="238" totalsRowDxfId="237"/>
    <tableColumn id="11" xr3:uid="{E2131A52-F4F3-4E3E-A78F-0F487D9B9B7C}" name="HST" dataDxfId="236" totalsRowDxfId="235"/>
    <tableColumn id="12" xr3:uid="{C0950DAD-1CE8-45F3-B39B-61B5DEB99058}" name="AMOUNT" dataDxfId="234" totalsRowDxfId="233"/>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3E29396C-1D58-4ED3-ACCB-4D713A083009}" name="WAGE_J" displayName="WAGE_J" ref="B9:Q16" totalsRowShown="0" headerRowDxfId="232" dataDxfId="231">
  <autoFilter ref="B9:Q16" xr:uid="{3E29396C-1D58-4ED3-ACCB-4D713A083009}"/>
  <tableColumns count="16">
    <tableColumn id="1" xr3:uid="{C16D963F-8DA9-4685-BA17-60346635D875}" name="Staff" dataDxfId="230"/>
    <tableColumn id="16" xr3:uid="{AEE6180B-F275-4B99-A6D5-C7B93778D624}" name="DATE" dataDxfId="229"/>
    <tableColumn id="2" xr3:uid="{C56ECD0B-DCB0-4FAE-A391-26339449947D}" name="Month" dataDxfId="228"/>
    <tableColumn id="3" xr3:uid="{21C63DF0-C33A-45AD-A8F0-0D0014F2DC00}" name="Employee" dataDxfId="227"/>
    <tableColumn id="4" xr3:uid="{97791C22-5B89-4F16-BE06-D2EF32830AA9}" name="Bonus" dataDxfId="226"/>
    <tableColumn id="5" xr3:uid="{AA5F13A4-37E2-472A-B5DB-D4815F20AD66}" name="Wage" dataDxfId="225"/>
    <tableColumn id="6" xr3:uid="{06636097-9E73-4422-8D27-9447BE45F9AD}" name="Gross" dataDxfId="224">
      <calculatedColumnFormula>WAGE_J[[#This Row],[Bonus]]+WAGE_J[[#This Row],[Wage]]</calculatedColumnFormula>
    </tableColumn>
    <tableColumn id="7" xr3:uid="{3EDA07A7-E6A0-49EE-A4A7-E701FF82DE28}" name="CPP" dataDxfId="223">
      <calculatedColumnFormula>WAGE_J[[#This Row],[Gross]]*0.03</calculatedColumnFormula>
    </tableColumn>
    <tableColumn id="8" xr3:uid="{733D3579-930D-4F85-B517-C6C0E42A73C5}" name="EI" dataDxfId="222">
      <calculatedColumnFormula>WAGE_J[[#This Row],[Gross]]*0.04</calculatedColumnFormula>
    </tableColumn>
    <tableColumn id="9" xr3:uid="{B1A45B1A-0F37-49C4-8AE8-51AF90B9432A}" name="Tax Fed" dataDxfId="221">
      <calculatedColumnFormula>WAGE_J[[#This Row],[Gross]]*0.15</calculatedColumnFormula>
    </tableColumn>
    <tableColumn id="10" xr3:uid="{7BF0BADA-0778-4D79-9A52-B0A9F55D5FC2}" name="Tax Prov" dataDxfId="220">
      <calculatedColumnFormula>WAGE_J[[#This Row],[Gross]]*0.075</calculatedColumnFormula>
    </tableColumn>
    <tableColumn id="11" xr3:uid="{CF02825C-F2CB-45E6-BAA4-D073AF63D24F}" name="Other" dataDxfId="219"/>
    <tableColumn id="12" xr3:uid="{88AA264A-91D2-43CC-9A9A-00F1383F3B5A}" name="Net" dataDxfId="218">
      <calculatedColumnFormula>WAGE_J[[#This Row],[Gross]]-WAGE_J[[#This Row],[CPP]]-WAGE_J[[#This Row],[EI]]-WAGE_J[[#This Row],[Tax Fed]]-WAGE_J[[#This Row],[Tax Prov]]-WAGE_J[[#This Row],[Other]]</calculatedColumnFormula>
    </tableColumn>
    <tableColumn id="13" xr3:uid="{8EBE8A26-1DDB-4AF2-9D4C-A25F017EB378}" name="Exp CPP" dataDxfId="217">
      <calculatedColumnFormula>WAGE_J[[#This Row],[CPP]]</calculatedColumnFormula>
    </tableColumn>
    <tableColumn id="14" xr3:uid="{6B6C3476-A050-48A5-A117-759E9862E991}" name="Exp EI" dataDxfId="216">
      <calculatedColumnFormula>WAGE_J[[#This Row],[EI]]*1.4</calculatedColumnFormula>
    </tableColumn>
    <tableColumn id="15" xr3:uid="{CDF5A08F-B3BA-4E9E-B056-004C8AFDB5DE}" name="Remittance" dataDxfId="215">
      <calculatedColumnFormula>WAGE_J[[#This Row],[CPP]]+WAGE_J[[#This Row],[EI]]+WAGE_J[[#This Row],[Tax Fed]]+WAGE_J[[#This Row],[Tax Prov]]+WAGE_J[[#This Row],[Exp EI]]+WAGE_J[[#This Row],[Exp CPP]]</calculatedColumnFormula>
    </tableColumn>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226A8D09-ECA7-4BE9-8A18-F4C2301CD733}" name="DE_WJ" displayName="DE_WJ" ref="E29:K37" totalsRowShown="0" headerRowDxfId="214" dataDxfId="213">
  <autoFilter ref="E29:K37" xr:uid="{DA196F60-B6F3-4C0D-BB0E-4914BB848186}">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7CB2605F-EB2C-4BB9-A161-AD1FA44C6381}" name="Month" dataDxfId="212"/>
    <tableColumn id="2" xr3:uid="{2B6B73B2-8E9A-4901-8173-82FAAAC37E54}" name="DATE" dataDxfId="211"/>
    <tableColumn id="8" xr3:uid="{B338F5CB-7592-4D40-863C-F52628252C87}" name="REF" dataDxfId="210"/>
    <tableColumn id="3" xr3:uid="{5DDFB4C4-0B94-47FB-98DA-FC306BF2B76E}" name="SOURCE" dataDxfId="209"/>
    <tableColumn id="4" xr3:uid="{C74D2AC1-8815-451E-A8C2-1ACF28A964B8}" name="PARTICULARS" dataDxfId="208"/>
    <tableColumn id="5" xr3:uid="{1034CBDC-1DAD-4E73-842E-C102607753BC}" name="ACCOUNT" dataDxfId="207"/>
    <tableColumn id="6" xr3:uid="{8C59E43D-0CBC-4554-877D-084C2C0BE64E}" name="AMOUNT" dataDxfId="206"/>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66A4BDB-BDFD-4364-ACB0-E1C7A4671760}" name="PAYSUM31" displayName="PAYSUM31" ref="B8:R26" totalsRowShown="0" headerRowDxfId="205">
  <autoFilter ref="B8:R26" xr:uid="{45CA8A1C-51CB-407A-875A-02A644B73CFF}"/>
  <tableColumns count="17">
    <tableColumn id="1" xr3:uid="{4C81848A-D6C3-40B7-804A-6E69A8614C0A}" name="Column1"/>
    <tableColumn id="2" xr3:uid="{4F25E50B-54AE-401B-8846-F048E0F29C37}" name="DATE" dataDxfId="204"/>
    <tableColumn id="4" xr3:uid="{F61C16A7-9E06-4947-91DA-CF799DD2C052}" name="Bonus"/>
    <tableColumn id="5" xr3:uid="{108E982E-9FDA-4875-B9D3-EA4186100EF5}" name="Wage"/>
    <tableColumn id="6" xr3:uid="{143041F1-9C01-4D16-8F2E-E27B3341599B}" name="Gross"/>
    <tableColumn id="7" xr3:uid="{4B1CC747-A877-4B61-9232-46386E4B9537}" name="CPP"/>
    <tableColumn id="8" xr3:uid="{5931E4A7-AD6C-4589-81A7-A13DC4D1EF87}" name="EI"/>
    <tableColumn id="9" xr3:uid="{B61D78CE-337F-4F99-BE46-34DD6C1980F0}" name="Tax Fed"/>
    <tableColumn id="10" xr3:uid="{0032EA6B-BFAE-407D-BE84-0419CFCCABDA}" name="Tax Prov"/>
    <tableColumn id="11" xr3:uid="{5F13D623-E417-4A3B-9728-9C86F6CF9BF8}" name="Other"/>
    <tableColumn id="12" xr3:uid="{CE46CC35-3D8B-4FD9-A617-860D4E4DCB81}" name="Payroll clearing"/>
    <tableColumn id="13" xr3:uid="{7755B591-6294-482E-B70D-EEE65AC1A810}" name="Exp CPP"/>
    <tableColumn id="14" xr3:uid="{D571506F-E006-41C8-BA25-5A1BA9F4AFB5}" name="Exp EI"/>
    <tableColumn id="15" xr3:uid="{907D8A1B-BA44-4148-AC97-5211C2766A07}" name="Remittance"/>
    <tableColumn id="16" xr3:uid="{E2999741-BE84-4DAF-BD8A-C6CEF8E54B54}" name="Column4"/>
    <tableColumn id="18" xr3:uid="{E2E46A7E-B95F-44F3-97FD-A0CB071E704D}" name="Column5"/>
    <tableColumn id="17" xr3:uid="{BE114739-EEA9-490F-AA67-9C36535A6F60}" name="Wage Cost"/>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DDC78AA3-C119-4764-A4FC-2A99A5C71723}" name="DE_CD" displayName="DE_CD" ref="B6:Q41" totalsRowShown="0" tableBorderDxfId="203">
  <autoFilter ref="B6:Q41" xr:uid="{DDC78AA3-C119-4764-A4FC-2A99A5C7172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xr3:uid="{1BA6F3A1-C7EB-43D9-AF6C-2266528203A6}" name="VENDOR" dataDxfId="202"/>
    <tableColumn id="2" xr3:uid="{C9EE0E93-7B06-4F8E-925A-9AF5CCBCD37E}" name="OS CK _x000a_Ref"/>
    <tableColumn id="3" xr3:uid="{3A9A88DA-9342-40C3-80F9-8510175833C9}" name="DATE"/>
    <tableColumn id="4" xr3:uid="{192A95C7-86E1-43F0-830A-D375617AA8F5}" name="INVOICE NO"/>
    <tableColumn id="5" xr3:uid="{6AED59D9-32D6-43B6-9F25-AC9F9658C7E6}" name="REF"/>
    <tableColumn id="6" xr3:uid="{6E11989E-0A1D-4377-8BB7-016E47CFF1D4}" name="ITEM _x000a_COUNT"/>
    <tableColumn id="7" xr3:uid="{C189833A-CD0D-4417-8C47-AF9709EF61BA}" name="LINE NO"/>
    <tableColumn id="8" xr3:uid="{66C6A3AE-C75E-42AB-BC58-1844A732D07A}" name="SOURCE" dataDxfId="201"/>
    <tableColumn id="9" xr3:uid="{5FE20A92-CC8A-448C-A795-613BAD6D285B}" name="PARTICULARS"/>
    <tableColumn id="10" xr3:uid="{96C07FC0-DF5E-4B25-B612-475F84A8EC05}" name="HST_x000a_ Code"/>
    <tableColumn id="12" xr3:uid="{1785A0AB-AB0D-4681-810B-1C87619E4AAF}" name="CHEQUE _x000a_AMOUNT"/>
    <tableColumn id="13" xr3:uid="{D795B5B1-E06B-43B1-9705-73A9EA1FD147}" name="CLEARED"/>
    <tableColumn id="14" xr3:uid="{2860D21B-62F9-4674-9C9A-8B923E8A409D}" name="ACCOUNT"/>
    <tableColumn id="15" xr3:uid="{B2B76C3B-662B-403E-9976-A9BE80238CB9}" name="HST_x000a_Amount"/>
    <tableColumn id="16" xr3:uid="{52D172E2-D921-4D11-8726-486768AA8E75}" name="AMOUNT"/>
    <tableColumn id="17" xr3:uid="{083B2C26-3A98-49EF-AD2C-5EA615B71118}" name="AP" dataDxfId="200">
      <calculatedColumnFormula>IF(N7="2150 Accounts Payable",L7*-1,0)</calculatedColumnFormula>
    </tableColumn>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7ED11E2F-B8A2-4C99-882A-B6EDA25EDD06}" name="DE_SJ" displayName="DE_SJ" ref="C5:Q35" totalsRowShown="0" headerRowDxfId="199" dataDxfId="198">
  <tableColumns count="15">
    <tableColumn id="1" xr3:uid="{92D7AE44-D047-4EEC-9568-FE22AF96A42F}" name="REF" dataDxfId="197"/>
    <tableColumn id="12" xr3:uid="{495421C6-3CC0-46D9-92C4-49E84D96D698}" name="SOURCE" dataDxfId="196"/>
    <tableColumn id="2" xr3:uid="{55AEB3FC-25AA-4A99-9A0B-0D65C0A3AC61}" name="CUSTOMER_x000a_#" dataDxfId="195"/>
    <tableColumn id="3" xr3:uid="{9B378098-04C0-42D4-BE6B-59463BD7EE48}" name="PARTICULARS" dataDxfId="194"/>
    <tableColumn id="4" xr3:uid="{42DA4C75-6F9B-4EC6-B471-6DF7649E7CC2}" name="DATE" dataDxfId="193"/>
    <tableColumn id="5" xr3:uid="{275496F7-4463-4D4D-8B05-BA5C067541BD}" name="INVOICE DETAIL" dataDxfId="192"/>
    <tableColumn id="15" xr3:uid="{1669D81D-59E0-4F7C-A46A-011F05BD84F5}" name="H S T _x000a_CODE" dataDxfId="191"/>
    <tableColumn id="6" xr3:uid="{CF18CF7F-E4A7-4194-B7CB-3DE6A8918060}" name="FEES" dataDxfId="190"/>
    <tableColumn id="7" xr3:uid="{D6DACF4D-F793-47FA-B17A-409A7F56220A}" name="HST" dataDxfId="189"/>
    <tableColumn id="8" xr3:uid="{84C1D8CB-9D3A-4004-BE56-D72E3A846D21}" name="TOTAL" dataDxfId="188"/>
    <tableColumn id="14" xr3:uid="{DB00EBEB-F754-4E4A-94CB-5B0994C76359}" name="ACCOUNT" dataDxfId="187"/>
    <tableColumn id="13" xr3:uid="{25C697D9-5A99-49DA-BD82-840EF51BA080}" name="AMOUNT" dataDxfId="186">
      <calculatedColumnFormula>IF(B6="O", "-",DE_SJ[[#This Row],[FEES]])</calculatedColumnFormula>
    </tableColumn>
    <tableColumn id="9" xr3:uid="{0378A34D-282B-4FF8-A3F2-536CF188E146}" name="PYMT" dataDxfId="185"/>
    <tableColumn id="10" xr3:uid="{E87CD6F4-619D-4615-80B3-F5C023C3E66E}" name="BALANCE" dataDxfId="184"/>
    <tableColumn id="11" xr3:uid="{DE908F70-9C89-4166-AB27-4CDA601A9A27}" name="KM" dataDxfId="183"/>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3F435A3-80B4-483D-8058-550B9C2497E3}" name="DE_JE" displayName="DE_JE" ref="B9:H100" totalsRowCount="1" headerRowDxfId="182" dataDxfId="181">
  <tableColumns count="7">
    <tableColumn id="2" xr3:uid="{68EFDE8B-E948-40BB-AC8A-A11F6215A021}" name="DATE" dataDxfId="180" totalsRowDxfId="179"/>
    <tableColumn id="1" xr3:uid="{67FAE9C6-2BCF-4AA5-956D-762EC7431472}" name="REF" dataDxfId="178" totalsRowDxfId="177"/>
    <tableColumn id="3" xr3:uid="{9F27FD11-6377-4C89-ADD7-96DBB3FCDAA6}" name="SOURCE" dataDxfId="176" totalsRowDxfId="175"/>
    <tableColumn id="7" xr3:uid="{8043B52C-3D48-4DA3-BBC5-BFFC1677AD2E}" name="PARTICULARS" dataDxfId="174" totalsRowDxfId="173"/>
    <tableColumn id="4" xr3:uid="{053BD128-83C0-4240-AFCC-C67FBA5F763F}" name="ACCOUNT" dataDxfId="172" totalsRowDxfId="171"/>
    <tableColumn id="5" xr3:uid="{DA8EB738-829A-4EA6-ADD0-FE446B908F5D}" name="AMOUNT" totalsRowLabel=" " dataDxfId="170" totalsRowDxfId="169"/>
    <tableColumn id="6" xr3:uid="{C16E94A6-D17C-49FE-BD20-4DE858D6BCCE}" name="Column1" dataDxfId="168"/>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ED28B63-9505-4F17-A9C5-0C659E55B34E}" name="DE_BKCDN" displayName="DE_BKCDN" ref="B8:AP99" totalsRowShown="0" dataDxfId="167" dataCellStyle="Normal 5 2">
  <tableColumns count="41">
    <tableColumn id="1" xr3:uid="{ABEFBAC0-E6EE-43B3-B884-F98B6A1DD93F}" name="REF" dataDxfId="166" dataCellStyle="Normal 5 2"/>
    <tableColumn id="2" xr3:uid="{72AB5D23-BFE9-4028-87D7-87267A5AFBF2}" name="SOURCE" dataDxfId="165" dataCellStyle="Normal 5 2">
      <calculatedColumnFormula>$C$5</calculatedColumnFormula>
    </tableColumn>
    <tableColumn id="3" xr3:uid="{D184036F-D056-4FF5-9010-EC7D843BE7BE}" name="PARTICULARS" dataDxfId="164" dataCellStyle="Normal 5 2"/>
    <tableColumn id="4" xr3:uid="{A13AC083-DFC0-4CD4-93E2-1D5813DB6A16}" name="TYPE" dataDxfId="163"/>
    <tableColumn id="5" xr3:uid="{A464B7BF-193E-419F-97E2-019015022B60}" name="DATE" dataDxfId="162" dataCellStyle="Normal 5 2"/>
    <tableColumn id="6" xr3:uid="{B6809CE1-3CDE-44A5-9E84-9C5F4BD6D166}" name="PRICE" dataDxfId="161" dataCellStyle="Normal 5 2">
      <calculatedColumnFormula>IF(H9&lt;&gt;0,J9/H9*-1," ")</calculatedColumnFormula>
    </tableColumn>
    <tableColumn id="7" xr3:uid="{093C4DCA-CDA6-4758-BC73-BA7611EB9706}" name="QTY" dataDxfId="160" dataCellStyle="Normal 5 2"/>
    <tableColumn id="8" xr3:uid="{30BFA250-DD0E-4520-9DBF-330C9EB483B3}" name="COMM" dataDxfId="159" dataCellStyle="Normal 5 2"/>
    <tableColumn id="9" xr3:uid="{B59AABC9-5BC1-4C9B-82FF-254E71691F07}" name="ACTIVITY" dataDxfId="158" dataCellStyle="Normal 5 2"/>
    <tableColumn id="10" xr3:uid="{3B3E9197-916A-44E1-A321-12EAAD3469BC}" name="BALANCE" dataDxfId="157" dataCellStyle="Normal 5 2"/>
    <tableColumn id="43" xr3:uid="{6F036B47-950C-4B8D-A628-E92AFFA17E46}" name="ACCOUNT" dataDxfId="156" dataCellStyle="Normal 5 2"/>
    <tableColumn id="11" xr3:uid="{E0353C59-5D05-467E-9D77-6938DADDD23F}" name="SYMBOL_x000a_OPEN_x000a_BUY/SALE" dataDxfId="155" dataCellStyle="Normal 5 2"/>
    <tableColumn id="45" xr3:uid="{9BADF7C9-2AA9-4315-B289-18E14DA504DF}" name="H2" dataDxfId="154" dataCellStyle="Normal 5 2">
      <calculatedColumnFormula>IF((O9="H"),(MAX($N$8:N8)+1),0)</calculatedColumnFormula>
    </tableColumn>
    <tableColumn id="39" xr3:uid="{7626BB41-8B1D-4D72-A241-B702A9B71A06}" name="H" dataDxfId="153" dataCellStyle="Normal 5 2">
      <calculatedColumnFormula>IF((AL9=""),0,COUNT(AL$8:AL9))</calculatedColumnFormula>
    </tableColumn>
    <tableColumn id="12" xr3:uid="{3CD19759-B0B5-4D62-A5AA-87228ECBF051}" name="M" dataDxfId="152" dataCellStyle="Normal 5 2"/>
    <tableColumn id="13" xr3:uid="{84B1EE58-E236-4754-85FF-0E8ED733C9D8}" name="B2" dataDxfId="151" dataCellStyle="Normal 5 2"/>
    <tableColumn id="14" xr3:uid="{71A7611E-CF76-4014-A378-0A6C8BB83B41}" name="S" dataDxfId="150" dataCellStyle="Normal 5 2"/>
    <tableColumn id="15" xr3:uid="{1C51814A-1CB3-4417-9533-2474C7B21FFF}" name="O/E" dataDxfId="149" dataCellStyle="Normal 5 2"/>
    <tableColumn id="21" xr3:uid="{17602D80-EF24-4D51-99F6-62A8F63D9AEE}" name="SYMBOL_x000a_MATCH" dataDxfId="148" dataCellStyle="Normal 5 2">
      <calculatedColumnFormula>IFERROR(MATCH(M9,M_SYMBOL[SYMBOL],0),"")</calculatedColumnFormula>
    </tableColumn>
    <tableColumn id="37" xr3:uid="{0B271DAD-8C9D-494C-B11E-2B4FCCAF1829}" name="GL_x000a_CODE_x000a_REF" dataDxfId="147" dataCellStyle="Normal 5 2"/>
    <tableColumn id="17" xr3:uid="{37BC3D56-254F-459F-9940-D338D3D641EE}" name="OPENING_x000a_QTY2" dataDxfId="146" dataCellStyle="Normal 5 2"/>
    <tableColumn id="18" xr3:uid="{0ACD2D66-049C-4895-9DB0-FDE77D09C84F}" name="OPENING_x000a_BALANCES" dataDxfId="145" dataCellStyle="Normal 5 2"/>
    <tableColumn id="19" xr3:uid="{714CF839-6F06-4EED-B192-651693DFE9E7}" name="AMOUNT" dataDxfId="144" dataCellStyle="Normal 5 2"/>
    <tableColumn id="20" xr3:uid="{B3777C83-0C2B-42A8-A478-C4FB43AA45B8}" name="PREVIOUS_x000a_UNITS" dataDxfId="143" dataCellStyle="Normal 5 2">
      <calculatedColumnFormula>IF(S9=1,0,IF(M9="",0,IF(E9="S",SUMIF($M$8:Z8,M9,$Z$8:Z8),0)))</calculatedColumnFormula>
    </tableColumn>
    <tableColumn id="44" xr3:uid="{7BBD2A4A-65CA-4F80-B6FA-59FF98953B8E}" name="SHARES_x000a_BOUGHT" dataDxfId="142" dataCellStyle="Normal 5 2">
      <calculatedColumnFormula>IF(E9="B",H9,IF(E9="O",H9,0))</calculatedColumnFormula>
    </tableColumn>
    <tableColumn id="38" xr3:uid="{C82A4AA9-D370-4A66-9E27-857ECAFABCE9}" name="SHARES _x000a_SOLD" dataDxfId="141" dataCellStyle="Normal 5 2">
      <calculatedColumnFormula>IF(E9="S",H9,0)</calculatedColumnFormula>
    </tableColumn>
    <tableColumn id="22" xr3:uid="{0C23B95F-92F7-4BB1-A7D7-8E100D0BD2B4}" name="TOTAL_x000a_SHARES" dataDxfId="140" dataCellStyle="Normal 5 2"/>
    <tableColumn id="40" xr3:uid="{4BD039FB-3B35-4762-BB68-876CFCF1791C}" name="PRIOR_x000a_ACB" dataDxfId="139" dataCellStyle="Comma">
      <calculatedColumnFormula>IF(E9="B",SUMIF($M$8:AD8,M9,$AD$8:AD8)-(SUMIF($M$8:AI8,M9,$AE$8:AE8)),IF(S9=1,0,IF(E9="O",AD9,IF(E9="S",(SUMIF($M$8:AD8,M9,$AD$8:AD8)-SUMIF($M$8:AI8,M9,$AE$8:AE8)),0))))</calculatedColumnFormula>
    </tableColumn>
    <tableColumn id="23" xr3:uid="{C71318F2-7D18-44C7-8D5A-366C171A5557}" name="ACB_x000a_OF BUYS" dataDxfId="138" dataCellStyle="Comma"/>
    <tableColumn id="41" xr3:uid="{FAB60AE8-6005-48CD-AEFF-D25EB3F301A3}" name="SOLD" dataDxfId="137" dataCellStyle="Normal 5 2">
      <calculatedColumnFormula>IF(E9="S",(AC9/Y9)*H9,0)</calculatedColumnFormula>
    </tableColumn>
    <tableColumn id="42" xr3:uid="{CDE61AEC-2B45-4ABD-ACC1-92D9DDC452C6}" name="ACB_x000a_ENDING" dataDxfId="136" dataCellStyle="Normal 5 2">
      <calculatedColumnFormula>IF(D9="","",IF(OR(E9="B",E9="O"),AD9+AC9,IF(OR(E9="D",E9="Fee"),AC9,IF(E9="S",AC9-AE9,""))))</calculatedColumnFormula>
    </tableColumn>
    <tableColumn id="24" xr3:uid="{C919932C-FC44-4DA0-9AE6-A64692E9076B}" name="PROCEEDS" dataDxfId="135" dataCellStyle="Normal 5 2"/>
    <tableColumn id="25" xr3:uid="{D2CC9A95-E20E-4DDD-8FC7-A0D632E61005}" name="GAINS_x000a_(lOSSES)" dataDxfId="134" dataCellStyle="Normal 5 2">
      <calculatedColumnFormula>DE_BKCDN[[#This Row],[PROCEEDS]]-DE_BKCDN[[#This Row],[SOLD]]</calculatedColumnFormula>
    </tableColumn>
    <tableColumn id="26" xr3:uid="{7105EDD5-6AF2-4342-A62E-EFABA0DE9592}" name="DATE_x000a_PURCHASED" dataDxfId="133" dataCellStyle="Normal 5 2"/>
    <tableColumn id="27" xr3:uid="{BD3BA944-66A5-45B7-8E57-003654361D54}" name="DAYS_x000a_HELD" dataDxfId="132" dataCellStyle="Normal 5 2"/>
    <tableColumn id="31" xr3:uid="{1637EF93-71A2-4EA4-8A57-45409B5C528E}" name="PURCHASE_x000a_DATE" dataDxfId="131" dataCellStyle="Normal 5 2">
      <calculatedColumnFormula>IF(O9="H",DE_BKCDN[[#This Row],[DATE]],"")</calculatedColumnFormula>
    </tableColumn>
    <tableColumn id="33" xr3:uid="{70C10EF7-6856-4CC3-B738-AF13E05619C4}" name="HOLDINGS" dataDxfId="130" dataCellStyle="Comma">
      <calculatedColumnFormula>IF(O9="","",IF(O9="H",SUMIF($M$8:$Z$83,M9,$Z$8:$Z$83)+SUMIF($M$8:$AA$83,M9,$AA$8:$AA$83)))</calculatedColumnFormula>
    </tableColumn>
    <tableColumn id="34" xr3:uid="{9FF51F48-1616-4326-90EE-B5042E613709}" name="ACB" dataDxfId="129" dataCellStyle="Comma">
      <calculatedColumnFormula>IF(O9="H",SUMIF($M$8:$AF$83,M9,$AD$8:$AD$83)+SUMIF($M$8:$AF$83,M9,$AE$8:$AE$83),0)</calculatedColumnFormula>
    </tableColumn>
    <tableColumn id="16" xr3:uid="{4F5394D5-A92C-4444-A4B8-A3982F2934BD}" name="MKT" dataDxfId="128" dataCellStyle="Comma"/>
    <tableColumn id="28" xr3:uid="{88047CAB-4024-4EDA-96F6-33661BEF7982}" name="TOTAL_x000a_MKT" dataDxfId="127" dataCellStyle="Comma">
      <calculatedColumnFormula>IF(DE_BKCDN[[#This Row],[ACB]]=0,0,DE_BKCDN[[#This Row],[HOLDINGS]]*DE_BKCDN[[#This Row],[MKT]])</calculatedColumnFormula>
    </tableColumn>
    <tableColumn id="35" xr3:uid="{D5F77B2F-FF42-46B8-86B4-803C823EFE81}" name="DIVIDENDS" dataDxfId="126" dataCellStyle="Normal 5 2"/>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87D99C7-BAE9-49AD-9637-644E7E139AF1}" name="FR_U118" displayName="FR_U118" ref="AT8:BC48" totalsRowShown="0" dataDxfId="125" headerRowCellStyle="Normal 5 2" dataCellStyle="Normal 5 2">
  <autoFilter ref="AT8:BC48" xr:uid="{EF7FCF09-55DE-4A92-A01A-D3A1574F511E}"/>
  <tableColumns count="10">
    <tableColumn id="1" xr3:uid="{10CF46E3-BED9-40E5-9612-F1CDBF83C8BF}" name="TYPE" dataDxfId="124" dataCellStyle="Normal 5 2"/>
    <tableColumn id="9" xr3:uid="{FD640BC0-32BE-4E32-9FD9-16C756423C87}" name="Column1" dataDxfId="123" dataCellStyle="Normal 5 2"/>
    <tableColumn id="11" xr3:uid="{57846565-1799-4DB5-A03F-28B72466789B}" name="Column2" dataDxfId="122" dataCellStyle="Normal 5 2"/>
    <tableColumn id="4" xr3:uid="{52373A16-5563-4328-8805-030B2174609D}" name="AMOUNT" dataDxfId="121" dataCellStyle="Normal 5 2"/>
    <tableColumn id="2" xr3:uid="{335F8F8C-957A-47D5-AA3B-BBE48227E87E}" name="SECURITIES" dataDxfId="120" dataCellStyle="Normal 5 2">
      <calculatedColumnFormula>FR_U118[[#This Row],[AMOUNT]]</calculatedColumnFormula>
    </tableColumn>
    <tableColumn id="3" xr3:uid="{94E88D1A-735E-4675-8F75-C38FF296257A}" name="TOTAL_x000a_MKT PY/CY" dataDxfId="119" dataCellStyle="Normal 5 2">
      <calculatedColumnFormula>#REF!</calculatedColumnFormula>
    </tableColumn>
    <tableColumn id="5" xr3:uid="{5CD36344-67D2-43B1-9800-4C63E91BB0A4}" name="UNREALIZED_x000a_GAIN_x000a_(LOSS)" dataDxfId="118" dataCellStyle="Normal 5 2">
      <calculatedColumnFormula>FR_U118[[#This Row],[SECURITIES]]-FR_U118[[#This Row],[TOTAL
MKT PY/CY]]</calculatedColumnFormula>
    </tableColumn>
    <tableColumn id="6" xr3:uid="{EE4EE116-568E-4902-AE5A-C09B656797DB}" name="EXCHNAGE_x000a_METHOD" dataDxfId="117" dataCellStyle="Normal 5 2">
      <calculatedColumnFormula>IF($E$5="US$",1.4396,1)</calculatedColumnFormula>
    </tableColumn>
    <tableColumn id="7" xr3:uid="{0FDDF353-91E8-4A5E-B7F7-EC24FA6A5949}" name="EXCHANGE_x000a_RATE" dataDxfId="116" dataCellStyle="Normal 5 2">
      <calculatedColumnFormula>IF($E$5="US$",1.4396,1)</calculatedColumnFormula>
    </tableColumn>
    <tableColumn id="8" xr3:uid="{B4C3FFF0-7869-49E4-A4B3-4D51B3D0D48E}" name="CDN $" dataDxfId="115" dataCellStyle="Normal 5 2">
      <calculatedColumnFormula>FR_U118[[#This Row],[AMOUNT]]*BB9*-1</calculatedColumnFormula>
    </tableColumn>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BE45D0B-1646-4797-8731-A44BA6066232}" name="DE_BKUS" displayName="DE_BKUS" ref="B9:AP49" totalsRowShown="0" dataDxfId="114" dataCellStyle="Normal 5 2">
  <tableColumns count="41">
    <tableColumn id="1" xr3:uid="{01AE248B-56AB-4D40-824A-AE9C34C6DB02}" name="REF" dataDxfId="113" dataCellStyle="Normal 5 2"/>
    <tableColumn id="2" xr3:uid="{6704D195-AA12-4E3C-962B-174CDBCB8732}" name="SOURCE" dataDxfId="112" dataCellStyle="Normal 5 2">
      <calculatedColumnFormula>$C$6</calculatedColumnFormula>
    </tableColumn>
    <tableColumn id="3" xr3:uid="{1D02F701-4BCC-4C51-935B-F0C1186369A9}" name="PARTICULARS" dataDxfId="111" dataCellStyle="Normal 5 2"/>
    <tableColumn id="4" xr3:uid="{027011DA-1D46-4A61-9540-1A24AF3DAA25}" name="TYPE" dataDxfId="110"/>
    <tableColumn id="5" xr3:uid="{E6B870FB-A524-48F7-853E-66C7FEC61028}" name="DATE" dataDxfId="109" dataCellStyle="Normal 5 2"/>
    <tableColumn id="6" xr3:uid="{28D8196E-380E-4997-9766-E5A7C9F48DE8}" name="PRICE" dataDxfId="108" dataCellStyle="Normal 5 2">
      <calculatedColumnFormula>IF(H10&lt;&gt;0,J10/H10*-1," ")</calculatedColumnFormula>
    </tableColumn>
    <tableColumn id="7" xr3:uid="{7FEB44D9-5B40-43F0-9D7F-AA1D70790526}" name="QTY" dataDxfId="107" dataCellStyle="Normal 5 2"/>
    <tableColumn id="8" xr3:uid="{2FB7721E-665C-4542-80BA-434FA73100A4}" name="COMM" dataDxfId="106" dataCellStyle="Normal 5 2"/>
    <tableColumn id="9" xr3:uid="{D412C914-3074-4BB5-9669-41116C6AF251}" name="ACTIVITY" dataDxfId="105" dataCellStyle="Normal 5 2"/>
    <tableColumn id="10" xr3:uid="{39939357-2B24-4852-8F2A-48B683A79C10}" name="BALANCE" dataDxfId="104" dataCellStyle="Normal 5 2"/>
    <tableColumn id="43" xr3:uid="{2534D921-BC60-4150-B198-45DB230DC105}" name="ACCOUNT" dataDxfId="103" dataCellStyle="Normal 5 2"/>
    <tableColumn id="11" xr3:uid="{BCFE6DB0-FB7A-4029-8B27-55D3B5755C79}" name="SYMBOL_x000a_OPEN_x000a_BUY/SALE" dataDxfId="102" dataCellStyle="Normal 5 2"/>
    <tableColumn id="45" xr3:uid="{422F722A-5E3F-42F4-BA78-AA6C96673573}" name="H2" dataDxfId="101" dataCellStyle="Normal 5 2">
      <calculatedColumnFormula>IF((O10="H"),(MAX($N$9:N9)+1),0)</calculatedColumnFormula>
    </tableColumn>
    <tableColumn id="39" xr3:uid="{D3F56A5B-4CE4-4D4E-BEB1-FEED6411F669}" name="H" dataDxfId="100" dataCellStyle="Normal 5 2">
      <calculatedColumnFormula>IF((AL10=""),0,COUNT(AL$9:AL10))</calculatedColumnFormula>
    </tableColumn>
    <tableColumn id="12" xr3:uid="{A08EE843-AE65-4FEF-B393-EF9ABFE2DA4A}" name="M" dataDxfId="99" dataCellStyle="Normal 5 2"/>
    <tableColumn id="13" xr3:uid="{ADF2AEE4-59F2-40DA-86DC-9FAE8EBADD0B}" name="B2" dataDxfId="98" dataCellStyle="Normal 5 2"/>
    <tableColumn id="14" xr3:uid="{D7B46637-7C6B-42C4-8033-6F5A7D0EC9CC}" name="S" dataDxfId="97" dataCellStyle="Normal 5 2"/>
    <tableColumn id="15" xr3:uid="{5A79AFA3-B8AA-4F06-B2B7-E9751F8FB303}" name="O/E" dataDxfId="96" dataCellStyle="Normal 5 2"/>
    <tableColumn id="21" xr3:uid="{93EF00C3-634A-46E9-9D64-6F67287FB089}" name="SYMBOL_x000a_MATCH" dataDxfId="95" dataCellStyle="Normal 5 2">
      <calculatedColumnFormula>IFERROR(MATCH(M10,M_SYMBOL[SYMBOL],0),"")</calculatedColumnFormula>
    </tableColumn>
    <tableColumn id="37" xr3:uid="{CC57D799-7668-4DF0-A7C2-3904FE09C01D}" name="GL_x000a_CODE_x000a_REF" dataDxfId="94" dataCellStyle="Normal 5 2"/>
    <tableColumn id="17" xr3:uid="{F4CC2A42-089B-4EDE-824A-FD7DC0F69C01}" name="OPENING_x000a_QTY2" dataDxfId="93" dataCellStyle="Normal 5 2"/>
    <tableColumn id="18" xr3:uid="{460E34DF-D61B-4392-8C73-BD2808374A2D}" name="OPENING_x000a_BALANCES" dataDxfId="92" dataCellStyle="Normal 5 2"/>
    <tableColumn id="19" xr3:uid="{805AB9EC-CF4B-4A0E-ACA1-C7E3AC7A60D3}" name="AMOUNT" dataDxfId="91" dataCellStyle="Normal 5 2"/>
    <tableColumn id="20" xr3:uid="{5E52AB2B-3F6F-42E4-8779-F77D93AAFC84}" name="PREVIOUS_x000a_UNITS" dataDxfId="90" dataCellStyle="Normal 5 2">
      <calculatedColumnFormula>IF(S10=1,0,IF(M10="",0,IF(E10="S",SUMIF($M$9:Z9,M10,$Z$9:Z9),0)))</calculatedColumnFormula>
    </tableColumn>
    <tableColumn id="44" xr3:uid="{70BA1DA0-4CDA-452C-BDF3-94D340EAC3ED}" name="SHARES_x000a_BOUGHT" dataDxfId="89" dataCellStyle="Normal 5 2">
      <calculatedColumnFormula>IF(E10="B",H10,IF(E10="O",H10,0))</calculatedColumnFormula>
    </tableColumn>
    <tableColumn id="38" xr3:uid="{B01311A3-006C-428B-99D6-6422A391D11D}" name="SHARES _x000a_SOLD" dataDxfId="88" dataCellStyle="Normal 5 2">
      <calculatedColumnFormula>IF(E10="S",H10,0)</calculatedColumnFormula>
    </tableColumn>
    <tableColumn id="22" xr3:uid="{EDCFEF0B-A31C-46EF-8D7A-F40ACAAC29B7}" name="TOTAL_x000a_SHARES" dataDxfId="87" dataCellStyle="Normal 5 2"/>
    <tableColumn id="40" xr3:uid="{8C5126E7-95C1-4E81-9201-784DA8769609}" name="PRIOR_x000a_ACB" dataDxfId="86" dataCellStyle="Comma">
      <calculatedColumnFormula>IF(E10="B",SUMIF($M$9:AD9,M10,$AD$9:AD9)-(SUMIF($M$9:AI9,M10,$AE$9:AE9)),IF(S10=1,0,IF(E10="O",AD10,IF(E10="S",(SUMIF($M$9:AD9,M10,$AD$9:AD9)-SUMIF($M$9:AI9,M10,$AE$9:AE9)),0))))</calculatedColumnFormula>
    </tableColumn>
    <tableColumn id="23" xr3:uid="{443EB9F0-6E45-41F0-B05C-5CA804C8AEF3}" name="ACB_x000a_OF BUYS" dataDxfId="85" dataCellStyle="Comma"/>
    <tableColumn id="41" xr3:uid="{17AC0133-61CA-42B2-BFC4-CD372463706D}" name="SOLD" dataDxfId="84" dataCellStyle="Normal 5 2">
      <calculatedColumnFormula>IF(E10="S",(AC10/Y10)*H10,0)</calculatedColumnFormula>
    </tableColumn>
    <tableColumn id="42" xr3:uid="{E762A4F8-39BF-45A0-8A00-5AC3D1B4A75B}" name="ACB_x000a_ENDING" dataDxfId="83" dataCellStyle="Normal 5 2">
      <calculatedColumnFormula>IF(D10="","",IF(OR(E10="B",E10="O"),AD10+AC10,IF(OR(E10="D",E10="Fee"),AC10,IF(E10="S",AC10-AE10,""))))</calculatedColumnFormula>
    </tableColumn>
    <tableColumn id="24" xr3:uid="{3C0EE9E5-0BE5-4901-87D3-D257F3EDE17E}" name="PROCEEDS" dataDxfId="82" dataCellStyle="Normal 5 2"/>
    <tableColumn id="25" xr3:uid="{36346690-9166-4DE4-9AC2-EC489A8290E0}" name="GAINS_x000a_(lOSSES)" dataDxfId="81" dataCellStyle="Normal 5 2">
      <calculatedColumnFormula>DE_BKUS[[#This Row],[PROCEEDS]]-DE_BKUS[[#This Row],[SOLD]]</calculatedColumnFormula>
    </tableColumn>
    <tableColumn id="26" xr3:uid="{3C038D0F-E030-4BB1-9147-BE674122D4F5}" name="DATE_x000a_PURCHASED" dataDxfId="80" dataCellStyle="Normal 5 2"/>
    <tableColumn id="27" xr3:uid="{4966D2BB-CF08-452B-945C-2E0731415FDE}" name="DAYS_x000a_HELD" dataDxfId="79" dataCellStyle="Normal 5 2"/>
    <tableColumn id="31" xr3:uid="{22F71DC9-DE73-4D87-BF3F-59CF8178C652}" name="PURCHASE_x000a_DATE" dataDxfId="78" dataCellStyle="Normal 5 2">
      <calculatedColumnFormula>IF(O10="H",DE_BKUS[[#This Row],[DATE]],"")</calculatedColumnFormula>
    </tableColumn>
    <tableColumn id="33" xr3:uid="{5D072E2C-16EB-4D55-8280-BBE251CA5E26}" name="HOLDINGS" dataDxfId="77" dataCellStyle="Comma">
      <calculatedColumnFormula>IF(O10="","",IF(O10="H",SUMIF($M$9:$Z$33,M10,$Z$9:$Z$33)+SUMIF($M$9:$AA$33,M10,$AA$9:$AA$33)))</calculatedColumnFormula>
    </tableColumn>
    <tableColumn id="34" xr3:uid="{81A2EA67-5086-4490-9CC3-3C3C3AF3E04F}" name="ACB" dataDxfId="76" dataCellStyle="Comma">
      <calculatedColumnFormula>IF(O10="H",SUMIF($M$9:$AF$33,M10,$AD$9:$AD$33)+SUMIF($M$9:$AF$33,M10,$AE$9:$AE$33),0)</calculatedColumnFormula>
    </tableColumn>
    <tableColumn id="16" xr3:uid="{3E3CC7BA-8154-4B99-910A-784C5E7309AA}" name="MKT" dataDxfId="75" dataCellStyle="Comma"/>
    <tableColumn id="28" xr3:uid="{FD44B044-73D8-4556-BA99-E6F887C129F7}" name="TOTAL_x000a_MKT" dataDxfId="74" dataCellStyle="Comma">
      <calculatedColumnFormula>IF(DE_BKUS[[#This Row],[ACB]]=0,0,DE_BKUS[[#This Row],[HOLDINGS]]*DE_BKUS[[#This Row],[MKT]])</calculatedColumnFormula>
    </tableColumn>
    <tableColumn id="35" xr3:uid="{E0877426-7487-4EA0-B13C-13A6F91B0690}" name="DIVIDENDS" dataDxfId="73" dataCellStyle="Normal 5 2"/>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788825EC-FF78-4103-BF7D-48C9413C5756}" name="FR_U1" displayName="FR_U1" ref="AT9:BC49" totalsRowShown="0" dataDxfId="72" headerRowCellStyle="Normal 5 2" dataCellStyle="Normal 5 2">
  <autoFilter ref="AT9:BC49" xr:uid="{EF7FCF09-55DE-4A92-A01A-D3A1574F511E}"/>
  <tableColumns count="10">
    <tableColumn id="1" xr3:uid="{8381887A-641D-497B-8085-21E1D5421414}" name="TYPE" dataDxfId="71" dataCellStyle="Normal 5 2"/>
    <tableColumn id="9" xr3:uid="{4ECB1D74-4406-4F42-AC5A-88DA1041B2D5}" name="Column1" dataDxfId="70" dataCellStyle="Normal 5 2"/>
    <tableColumn id="11" xr3:uid="{AEA3E46C-07FF-4FA3-9951-6FC0E2AD3795}" name="Column2" dataDxfId="69" dataCellStyle="Normal 5 2"/>
    <tableColumn id="4" xr3:uid="{239DC0A7-F630-4251-81BA-D04F068CDA35}" name="AMOUNT" dataDxfId="68" dataCellStyle="Normal 5 2"/>
    <tableColumn id="2" xr3:uid="{335CC5D4-5FA2-4212-A3FA-82B19CFC4E0F}" name="SECURITIES" dataDxfId="67" dataCellStyle="Normal 5 2">
      <calculatedColumnFormula>FR_U1[[#This Row],[AMOUNT]]</calculatedColumnFormula>
    </tableColumn>
    <tableColumn id="3" xr3:uid="{CFF7D437-3993-4552-88E9-BFA2D0F63386}" name="TOTAL_x000a_MKT PY/CY" dataDxfId="66" dataCellStyle="Normal 5 2">
      <calculatedColumnFormula>L5</calculatedColumnFormula>
    </tableColumn>
    <tableColumn id="5" xr3:uid="{F592E449-0B7E-4DB4-AE6E-0390C35C01FC}" name="UNREALIZED_x000a_GAIN_x000a_(LOSS)" dataDxfId="65" dataCellStyle="Normal 5 2">
      <calculatedColumnFormula>FR_U1[[#This Row],[SECURITIES]]-FR_U1[[#This Row],[TOTAL
MKT PY/CY]]</calculatedColumnFormula>
    </tableColumn>
    <tableColumn id="6" xr3:uid="{3B8428A9-D72F-4D9E-B04A-E920C58DDB5D}" name="EXCHNAGE_x000a_METHOD" dataDxfId="64" dataCellStyle="Normal 5 2">
      <calculatedColumnFormula>IF($E$6="US$",1.4396,1)</calculatedColumnFormula>
    </tableColumn>
    <tableColumn id="7" xr3:uid="{F71DF2A2-3ACB-4F35-824D-1ED443B3A133}" name="EXCHANGE_x000a_RATE" dataDxfId="63" dataCellStyle="Normal 5 2">
      <calculatedColumnFormula>IF($E$6="US$",1.4396,1)</calculatedColumnFormula>
    </tableColumn>
    <tableColumn id="8" xr3:uid="{FB8F7ADF-8D27-4467-BFDF-A2D093E43ADD}" name="CDN $" dataDxfId="62" dataCellStyle="Normal 5 2">
      <calculatedColumnFormula>FR_U1[[#This Row],[AMOUNT]]*BB10*-1</calculatedColumnFormula>
    </tableColumn>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36344AB6-9B97-4A7D-BFAD-F832D7FD99F8}" name="DE_BF" displayName="DE_BF" ref="B8:G105" totalsRowShown="0" headerRowDxfId="61" dataDxfId="60">
  <autoFilter ref="B8:G105" xr:uid="{03F435A3-80B4-483D-8058-550B9C2497E3}"/>
  <sortState xmlns:xlrd2="http://schemas.microsoft.com/office/spreadsheetml/2017/richdata2" ref="B9:G105">
    <sortCondition ref="F8:F105"/>
  </sortState>
  <tableColumns count="6">
    <tableColumn id="1" xr3:uid="{195B2BB7-7C2F-40BF-9074-BC6E374D859C}" name="DATE" dataDxfId="59"/>
    <tableColumn id="2" xr3:uid="{AEAA01A2-B6AF-429D-B489-019D4FD6004E}" name="REF" dataDxfId="58"/>
    <tableColumn id="6" xr3:uid="{F2DFE2C8-0746-457A-BD19-10F83344C399}" name="SOURCE" dataDxfId="57"/>
    <tableColumn id="3" xr3:uid="{5053F777-7FD6-4D2D-9DCD-848E8C523EE2}" name="PARTICULARS" dataDxfId="56"/>
    <tableColumn id="4" xr3:uid="{15EF6843-E0F1-4751-B95A-9B5A8ADDB04D}" name="ACCOUNT" dataDxfId="55"/>
    <tableColumn id="10" xr3:uid="{3EEB5AF9-AD13-4881-A5B6-4D197B23FDC9}" name="AMOUNT" dataDxfId="54" dataCellStyle="Normal 3"/>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DFA8E418-F5B2-4BFD-8E40-22084983C5A6}" name="M_COA" displayName="M_COA" ref="B6:O172" totalsRowShown="0" headerRowDxfId="53" dataDxfId="52">
  <autoFilter ref="B6:O172" xr:uid="{DFA8E418-F5B2-4BFD-8E40-22084983C5A6}"/>
  <sortState xmlns:xlrd2="http://schemas.microsoft.com/office/spreadsheetml/2017/richdata2" ref="D7:O161">
    <sortCondition ref="D6:D161"/>
  </sortState>
  <tableColumns count="14">
    <tableColumn id="18" xr3:uid="{D35E851A-05B2-47EA-8E8C-DA8028EB7686}" name="AccountNumber" dataDxfId="51"/>
    <tableColumn id="17" xr3:uid="{3401EE44-D482-4F7C-A9A1-EC01C0A0DCC6}" name="AccountName" dataDxfId="50"/>
    <tableColumn id="1" xr3:uid="{A29E534D-9C6E-4FB4-AE14-07824ABFEE9F}" name="ACCOUNT" dataDxfId="49"/>
    <tableColumn id="11" xr3:uid="{F8A802E6-0650-4173-9ADA-979466540B94}" name="GROUP" dataDxfId="48"/>
    <tableColumn id="12" xr3:uid="{C3C1AEAF-D56A-4512-8687-F06059C4F145}" name="GroupCount" dataDxfId="47"/>
    <tableColumn id="13" xr3:uid="{21ABF5B0-916C-44F9-BEDD-308AD169B7BA}" name="LSheetID" dataDxfId="46"/>
    <tableColumn id="2" xr3:uid="{67FAB82F-20F9-4F72-A22B-8483AF786D08}" name="IFSL" dataDxfId="45"/>
    <tableColumn id="8" xr3:uid="{00462A00-206B-4F1E-A9DD-30F03C9558A1}" name="FS_LINE" dataDxfId="44"/>
    <tableColumn id="3" xr3:uid="{0945AD9D-D6B6-4F37-B231-44B81C93CD2E}" name="CY" dataDxfId="43">
      <calculatedColumnFormula>IFERROR(VLOOKUP(M_COA[[#This Row],[ACCOUNT]],#REF!,2,0),0)</calculatedColumnFormula>
    </tableColumn>
    <tableColumn id="4" xr3:uid="{712B1E2C-C812-4DF8-9E20-54EBC8D2D707}" name="PY1" dataDxfId="42"/>
    <tableColumn id="5" xr3:uid="{CE0CBA92-C1AA-47A9-B241-BA6ECD75D3C5}" name="PY2" dataDxfId="41"/>
    <tableColumn id="6" xr3:uid="{EFA222F8-51D5-42AA-836B-E331A61FEFAA}" name="PY3" dataDxfId="40"/>
    <tableColumn id="7" xr3:uid="{A3DEA039-EB68-4F66-A476-60A528AA54CD}" name="PY4" dataDxfId="39"/>
    <tableColumn id="10" xr3:uid="{AF67FAC5-7535-4CAE-B10C-BEC50B15754F}" name="PY5" dataDxfId="38"/>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CB749088-B866-4DD3-BE02-22D9DDD21A9D}" name="CTRL_V" displayName="CTRL_V" ref="B2:H13" totalsRowShown="0" headerRowDxfId="37" dataDxfId="36">
  <autoFilter ref="B2:H13" xr:uid="{13D3CA0A-5FBE-4131-A457-6CA46807D6BC}"/>
  <sortState xmlns:xlrd2="http://schemas.microsoft.com/office/spreadsheetml/2017/richdata2" ref="B3:H13">
    <sortCondition ref="B2:B13"/>
  </sortState>
  <tableColumns count="7">
    <tableColumn id="1" xr3:uid="{C20EBDC9-D38A-4A6D-AE7E-BA904008F0B0}" name="CODE" dataDxfId="35"/>
    <tableColumn id="2" xr3:uid="{71CFB2FE-54BC-49A8-A36C-7E270574A1AD}" name="NAME" dataDxfId="34"/>
    <tableColumn id="7" xr3:uid="{498B3312-6939-4E6E-8179-637D020D72C2}" name="ID" dataDxfId="33" dataCellStyle="Normal 2">
      <calculatedColumnFormula>CONCATENATE(CTRL_V[[#This Row],[CODE]]," ",CTRL_V[[#This Row],[NAME]])</calculatedColumnFormula>
    </tableColumn>
    <tableColumn id="3" xr3:uid="{B4EB1B6C-6E2F-4019-B1BD-D3C4E42FDC1E}" name="ADDRESS 1" dataDxfId="32"/>
    <tableColumn id="4" xr3:uid="{E465F4D2-B4DF-4A32-AEC2-C4AF5FCA0EFB}" name="ADDRESS 2" dataDxfId="31"/>
    <tableColumn id="5" xr3:uid="{8A3346C1-B697-4933-B96A-6F96312EA286}" name="ADDRESS 3" dataDxfId="30"/>
    <tableColumn id="6" xr3:uid="{8F8102C0-9502-428A-A1E4-64BA50A6787B}" name="Postal Code" dataDxfId="29"/>
  </tableColumns>
  <tableStyleInfo name="TableStyleMedium2"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74A6163A-0D08-4DB5-A7CA-3AD3CBB8888A}" name="M_SYMBOL" displayName="M_SYMBOL" ref="B6:D229" totalsRowCount="1" headerRowDxfId="28" dataDxfId="27" headerRowCellStyle="Comma" dataCellStyle="Comma">
  <autoFilter ref="B6:D228" xr:uid="{58240EAB-17B2-402E-9146-291E6AF954A1}"/>
  <tableColumns count="3">
    <tableColumn id="3" xr3:uid="{2F36AA87-070D-4BE2-BF98-F900B379F09B}" name="C" dataDxfId="26" totalsRowDxfId="25" totalsRowCellStyle="Normal 10"/>
    <tableColumn id="4" xr3:uid="{96A24201-C98F-4DA0-9259-B9BC287D44D9}" name="Y" dataDxfId="24" totalsRowDxfId="23" totalsRowCellStyle="Normal 10"/>
    <tableColumn id="7" xr3:uid="{90393AC5-FC1F-465E-AA87-724301FEE92D}" name="SYMBOL" dataDxfId="22" totalsRowDxfId="21" totalsRowCellStyle="Normal 10"/>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AEB57250-5525-43E1-8E1B-28E4817E75C5}" name="M_TRX_TYPE" displayName="M_TRX_TYPE" ref="B3:E21" totalsRowShown="0" headerRowDxfId="20" dataDxfId="19" headerRowCellStyle="Normal 3" dataCellStyle="Normal 3">
  <autoFilter ref="B3:E21" xr:uid="{AEB57250-5525-43E1-8E1B-28E4817E75C5}"/>
  <tableColumns count="4">
    <tableColumn id="1" xr3:uid="{6657D141-BF26-4F04-B3D2-FC6F7ECF8940}" name="TYPE" dataDxfId="18" dataCellStyle="Normal 3"/>
    <tableColumn id="2" xr3:uid="{B0F9700D-691E-4E03-804E-F2E3E7B489F7}" name="Column1" dataDxfId="17" dataCellStyle="Normal 3"/>
    <tableColumn id="3" xr3:uid="{3819B647-AF11-4265-AD3B-7A337528B9D7}" name="BK-US" dataDxfId="16" dataCellStyle="Normal 3"/>
    <tableColumn id="4" xr3:uid="{F3443E00-C62E-4E59-B827-BB0C3B55F61B}" name="BK-CDN" dataDxfId="15" dataCellStyle="Normal 3"/>
  </tableColumns>
  <tableStyleInfo name="TableStyleMedium2"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5C0C0A31-C92B-4176-A5E4-B8684DB61D14}" name="M_STAFF" displayName="M_STAFF" ref="B7:L22" totalsRowShown="0" headerRowDxfId="14" dataDxfId="13">
  <autoFilter ref="B7:L22" xr:uid="{5C0C0A31-C92B-4176-A5E4-B8684DB61D14}"/>
  <tableColumns count="11">
    <tableColumn id="1" xr3:uid="{0CF5BB16-C289-405D-8F86-95AE25513288}" name="Staff" dataDxfId="12"/>
    <tableColumn id="11" xr3:uid="{9DA0C4B3-F244-46D3-82BE-EEE1AF6F77D0}" name="Column3" dataDxfId="11"/>
    <tableColumn id="2" xr3:uid="{04F5F9AE-640C-4F39-B30D-B4F66FE8870A}" name="Column1" dataDxfId="10"/>
    <tableColumn id="3" xr3:uid="{A6E0A3B0-EACC-4932-9D0A-AF0318DD525E}" name="SIN." dataDxfId="9"/>
    <tableColumn id="4" xr3:uid="{0090CDD7-F4E2-4758-88C8-42424FB1E181}" name="Gross" dataDxfId="8"/>
    <tableColumn id="5" xr3:uid="{A37998C1-7C75-4886-B290-7A89A51875AC}" name="CPP" dataDxfId="7"/>
    <tableColumn id="6" xr3:uid="{9A3337E7-C4C4-414B-A07D-10499EED3D43}" name="EI" dataDxfId="6"/>
    <tableColumn id="7" xr3:uid="{CC1284EC-3C9D-41D8-8B14-F2985317E374}" name="Tax Fed" dataDxfId="5"/>
    <tableColumn id="8" xr3:uid="{C4FA0447-319A-4F9B-AED8-2CA8D8B8E41E}" name="Tax Prov" dataDxfId="4"/>
    <tableColumn id="9" xr3:uid="{8D167F4F-456E-4E7D-BCDD-CCB5400B4768}" name="Other" dataDxfId="3"/>
    <tableColumn id="10" xr3:uid="{C32F732C-EC2A-4932-8CD1-6EC8B246C624}" name="Net" dataDxfId="2"/>
  </tableColumns>
  <tableStyleInfo name="TableStyleMedium2"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13D3CA0A-5FBE-4131-A457-6CA46807D6BC}" name="M_CUSTOMERS" displayName="M_CUSTOMERS" ref="B2:H16" totalsRowShown="0" headerRowDxfId="1">
  <autoFilter ref="B2:H16" xr:uid="{13D3CA0A-5FBE-4131-A457-6CA46807D6BC}"/>
  <sortState xmlns:xlrd2="http://schemas.microsoft.com/office/spreadsheetml/2017/richdata2" ref="B3:H15">
    <sortCondition ref="B2:B16"/>
  </sortState>
  <tableColumns count="7">
    <tableColumn id="1" xr3:uid="{6FBA39CF-CF1B-4053-8682-5A4D47565E12}" name="CUSTOMER_x000a_NUMBER"/>
    <tableColumn id="2" xr3:uid="{04C976FF-AA8D-4E86-B190-622ECFF1C770}" name="NAME"/>
    <tableColumn id="7" xr3:uid="{6979DCF8-F93B-4623-87EB-EA173C998D08}" name="CUSTOMER ID" dataDxfId="0">
      <calculatedColumnFormula>CONCATENATE(M_CUSTOMERS[[#This Row],[CUSTOMER
NUMBER]]," ",M_CUSTOMERS[[#This Row],[NAME]])</calculatedColumnFormula>
    </tableColumn>
    <tableColumn id="3" xr3:uid="{AE2CF6F5-677C-4F04-BD33-78E3C64932EE}" name="ADDRESS 1"/>
    <tableColumn id="4" xr3:uid="{16700CA9-F78B-400E-A045-ABC0A738A32B}" name="ADDRESS 2"/>
    <tableColumn id="5" xr3:uid="{957CAC70-5855-43DB-A652-242F294B7D05}" name="ADDRESS 3"/>
    <tableColumn id="6" xr3:uid="{2B78054E-4ADE-437D-B514-DE6DBA943147}" name="Postal Code"/>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table" Target="../tables/table3.xml"/></Relationships>
</file>

<file path=xl/worksheets/_rels/sheet1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2.xml"/><Relationship Id="rId1" Type="http://schemas.openxmlformats.org/officeDocument/2006/relationships/printerSettings" Target="../printerSettings/printerSettings5.bin"/><Relationship Id="rId5" Type="http://schemas.openxmlformats.org/officeDocument/2006/relationships/table" Target="../tables/table6.xml"/><Relationship Id="rId4" Type="http://schemas.openxmlformats.org/officeDocument/2006/relationships/table" Target="../tables/table5.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9.xml"/></Relationships>
</file>

<file path=xl/worksheets/_rels/sheet2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6.bin"/></Relationships>
</file>

<file path=xl/worksheets/_rels/sheet23.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32.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0.bin"/></Relationships>
</file>

<file path=xl/worksheets/_rels/sheet33.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1.bin"/></Relationships>
</file>

<file path=xl/worksheets/_rels/sheet34.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2.bin"/></Relationships>
</file>

<file path=xl/worksheets/_rels/sheet35.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printerSettings" Target="../printerSettings/printerSettings13.bin"/><Relationship Id="rId1" Type="http://schemas.openxmlformats.org/officeDocument/2006/relationships/hyperlink" Target="https://apps.cra-arc.gc.ca/ebci/rhpd/beta/entry" TargetMode="External"/></Relationships>
</file>

<file path=xl/worksheets/_rels/sheet36.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printerSettings" Target="../printerSettings/printerSettings14.bin"/><Relationship Id="rId1" Type="http://schemas.openxmlformats.org/officeDocument/2006/relationships/hyperlink" Target="https://apps.cra-arc.gc.ca/ebci/rhpd/beta/entry" TargetMode="External"/><Relationship Id="rId4" Type="http://schemas.openxmlformats.org/officeDocument/2006/relationships/table" Target="../tables/table17.xml"/></Relationships>
</file>

<file path=xl/worksheets/_rels/sheet37.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printerSettings" Target="../printerSettings/printerSettings15.bin"/></Relationships>
</file>

<file path=xl/worksheets/_rels/sheet38.xml.rels><?xml version="1.0" encoding="UTF-8" standalone="yes"?>
<Relationships xmlns="http://schemas.openxmlformats.org/package/2006/relationships"><Relationship Id="rId2" Type="http://schemas.openxmlformats.org/officeDocument/2006/relationships/table" Target="../tables/table19.xml"/><Relationship Id="rId1" Type="http://schemas.openxmlformats.org/officeDocument/2006/relationships/printerSettings" Target="../printerSettings/printerSettings16.bin"/></Relationships>
</file>

<file path=xl/worksheets/_rels/sheet39.xml.rels><?xml version="1.0" encoding="UTF-8" standalone="yes"?>
<Relationships xmlns="http://schemas.openxmlformats.org/package/2006/relationships"><Relationship Id="rId2" Type="http://schemas.openxmlformats.org/officeDocument/2006/relationships/table" Target="../tables/table20.xml"/><Relationship Id="rId1" Type="http://schemas.openxmlformats.org/officeDocument/2006/relationships/printerSettings" Target="../printerSettings/printerSettings17.bin"/></Relationships>
</file>

<file path=xl/worksheets/_rels/sheet40.xml.rels><?xml version="1.0" encoding="UTF-8" standalone="yes"?>
<Relationships xmlns="http://schemas.openxmlformats.org/package/2006/relationships"><Relationship Id="rId3" Type="http://schemas.openxmlformats.org/officeDocument/2006/relationships/table" Target="../tables/table22.xml"/><Relationship Id="rId2" Type="http://schemas.openxmlformats.org/officeDocument/2006/relationships/table" Target="../tables/table21.xml"/><Relationship Id="rId1" Type="http://schemas.openxmlformats.org/officeDocument/2006/relationships/printerSettings" Target="../printerSettings/printerSettings18.bin"/></Relationships>
</file>

<file path=xl/worksheets/_rels/sheet41.xml.rels><?xml version="1.0" encoding="UTF-8" standalone="yes"?>
<Relationships xmlns="http://schemas.openxmlformats.org/package/2006/relationships"><Relationship Id="rId3" Type="http://schemas.openxmlformats.org/officeDocument/2006/relationships/table" Target="../tables/table24.xml"/><Relationship Id="rId2" Type="http://schemas.openxmlformats.org/officeDocument/2006/relationships/table" Target="../tables/table23.xml"/><Relationship Id="rId1" Type="http://schemas.openxmlformats.org/officeDocument/2006/relationships/printerSettings" Target="../printerSettings/printerSettings19.bin"/></Relationships>
</file>

<file path=xl/worksheets/_rels/sheet42.xml.rels><?xml version="1.0" encoding="UTF-8" standalone="yes"?>
<Relationships xmlns="http://schemas.openxmlformats.org/package/2006/relationships"><Relationship Id="rId2" Type="http://schemas.openxmlformats.org/officeDocument/2006/relationships/table" Target="../tables/table25.xml"/><Relationship Id="rId1" Type="http://schemas.openxmlformats.org/officeDocument/2006/relationships/printerSettings" Target="../printerSettings/printerSettings20.bin"/></Relationships>
</file>

<file path=xl/worksheets/_rels/sheet43.xml.rels><?xml version="1.0" encoding="UTF-8" standalone="yes"?>
<Relationships xmlns="http://schemas.openxmlformats.org/package/2006/relationships"><Relationship Id="rId2" Type="http://schemas.openxmlformats.org/officeDocument/2006/relationships/table" Target="../tables/table26.xml"/><Relationship Id="rId1" Type="http://schemas.openxmlformats.org/officeDocument/2006/relationships/printerSettings" Target="../printerSettings/printerSettings21.bin"/></Relationships>
</file>

<file path=xl/worksheets/_rels/sheet44.xml.rels><?xml version="1.0" encoding="UTF-8" standalone="yes"?>
<Relationships xmlns="http://schemas.openxmlformats.org/package/2006/relationships"><Relationship Id="rId2" Type="http://schemas.openxmlformats.org/officeDocument/2006/relationships/table" Target="../tables/table27.xml"/><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hyperlink" Target="http://stockcharts.com/h-sc/ui?s=" TargetMode="External"/><Relationship Id="rId1" Type="http://schemas.openxmlformats.org/officeDocument/2006/relationships/hyperlink" Target="http://finance.yahoo.com/q?s=" TargetMode="External"/><Relationship Id="rId4" Type="http://schemas.openxmlformats.org/officeDocument/2006/relationships/table" Target="../tables/table28.xml"/></Relationships>
</file>

<file path=xl/worksheets/_rels/sheet46.xml.rels><?xml version="1.0" encoding="UTF-8" standalone="yes"?>
<Relationships xmlns="http://schemas.openxmlformats.org/package/2006/relationships"><Relationship Id="rId1" Type="http://schemas.openxmlformats.org/officeDocument/2006/relationships/table" Target="../tables/table29.xml"/></Relationships>
</file>

<file path=xl/worksheets/_rels/sheet47.xml.rels><?xml version="1.0" encoding="UTF-8" standalone="yes"?>
<Relationships xmlns="http://schemas.openxmlformats.org/package/2006/relationships"><Relationship Id="rId2" Type="http://schemas.openxmlformats.org/officeDocument/2006/relationships/table" Target="../tables/table30.xml"/><Relationship Id="rId1" Type="http://schemas.openxmlformats.org/officeDocument/2006/relationships/printerSettings" Target="../printerSettings/printerSettings24.bin"/></Relationships>
</file>

<file path=xl/worksheets/_rels/sheet48.xml.rels><?xml version="1.0" encoding="UTF-8" standalone="yes"?>
<Relationships xmlns="http://schemas.openxmlformats.org/package/2006/relationships"><Relationship Id="rId2" Type="http://schemas.openxmlformats.org/officeDocument/2006/relationships/table" Target="../tables/table31.xml"/><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5B3F1-1049-4AC0-B309-1A0FD5018870}">
  <sheetPr codeName="Sheet21"/>
  <dimension ref="B36:D36"/>
  <sheetViews>
    <sheetView tabSelected="1" zoomScaleNormal="100" workbookViewId="0">
      <selection activeCell="B30" sqref="B30"/>
    </sheetView>
  </sheetViews>
  <sheetFormatPr defaultRowHeight="12.75"/>
  <cols>
    <col min="4" max="4" width="10.140625" customWidth="1"/>
  </cols>
  <sheetData>
    <row r="36" spans="2:4">
      <c r="B36" t="s">
        <v>0</v>
      </c>
      <c r="D36" t="s">
        <v>0</v>
      </c>
    </row>
  </sheetData>
  <pageMargins left="0.7" right="0.7" top="0.75" bottom="0.75" header="0.3" footer="0.3"/>
  <pageSetup scale="7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C03E9-7E7A-4790-B737-87535561E2CE}">
  <sheetPr codeName="Sheet30"/>
  <dimension ref="B2:E23"/>
  <sheetViews>
    <sheetView workbookViewId="0">
      <selection activeCell="E13" sqref="E13"/>
    </sheetView>
  </sheetViews>
  <sheetFormatPr defaultRowHeight="12.75"/>
  <sheetData>
    <row r="2" spans="2:5">
      <c r="B2">
        <f>E17</f>
        <v>234</v>
      </c>
      <c r="C2">
        <v>0</v>
      </c>
      <c r="D2" s="3" t="s">
        <v>1669</v>
      </c>
    </row>
    <row r="4" spans="2:5">
      <c r="C4" t="s">
        <v>1563</v>
      </c>
    </row>
    <row r="5" spans="2:5">
      <c r="C5" t="s">
        <v>96</v>
      </c>
      <c r="D5">
        <v>1</v>
      </c>
      <c r="E5" s="850">
        <f>COUNT(CR!G:G,"&gt;0")</f>
        <v>4</v>
      </c>
    </row>
    <row r="6" spans="2:5">
      <c r="C6" t="s">
        <v>151</v>
      </c>
      <c r="D6">
        <f>D5+1</f>
        <v>2</v>
      </c>
      <c r="E6" s="850">
        <f>COUNT(PJ!G:G,"&gt;0")</f>
        <v>5</v>
      </c>
    </row>
    <row r="7" spans="2:5">
      <c r="C7" t="s">
        <v>1373</v>
      </c>
      <c r="D7">
        <f t="shared" ref="D7:D14" si="0">D6+1</f>
        <v>3</v>
      </c>
      <c r="E7" s="850">
        <f>COUNT(CCJ!G:G,"&gt;0")</f>
        <v>8</v>
      </c>
    </row>
    <row r="8" spans="2:5">
      <c r="C8" t="s">
        <v>1377</v>
      </c>
      <c r="D8">
        <f t="shared" si="0"/>
        <v>4</v>
      </c>
      <c r="E8" s="850">
        <f>COUNT(WJ!H:H,"&gt;0")</f>
        <v>7</v>
      </c>
    </row>
    <row r="9" spans="2:5">
      <c r="C9" t="s">
        <v>674</v>
      </c>
      <c r="D9">
        <f t="shared" si="0"/>
        <v>5</v>
      </c>
      <c r="E9" s="850">
        <f>COUNTIF(CD!L:L,"&lt;0")</f>
        <v>10</v>
      </c>
    </row>
    <row r="10" spans="2:5">
      <c r="C10" t="s">
        <v>150</v>
      </c>
      <c r="D10">
        <f t="shared" si="0"/>
        <v>6</v>
      </c>
      <c r="E10" s="850">
        <f>COUNTIF(SJ!L:L,"&gt;0")</f>
        <v>5</v>
      </c>
    </row>
    <row r="11" spans="2:5">
      <c r="C11" t="s">
        <v>1057</v>
      </c>
      <c r="D11">
        <f t="shared" si="0"/>
        <v>7</v>
      </c>
      <c r="E11" s="850">
        <f>COUNT(GJ!H:H,"&gt;0")</f>
        <v>0</v>
      </c>
    </row>
    <row r="12" spans="2:5">
      <c r="C12" t="s">
        <v>1058</v>
      </c>
      <c r="D12">
        <f t="shared" si="0"/>
        <v>8</v>
      </c>
      <c r="E12" s="850">
        <f>COUNT(BK_CDN!K:K,"&gt;0")</f>
        <v>78</v>
      </c>
    </row>
    <row r="13" spans="2:5">
      <c r="C13" t="s">
        <v>1059</v>
      </c>
      <c r="D13">
        <f t="shared" si="0"/>
        <v>9</v>
      </c>
      <c r="E13" s="850">
        <f>COUNT(BK_US!K:K,"&gt;0")</f>
        <v>27</v>
      </c>
    </row>
    <row r="14" spans="2:5">
      <c r="C14" t="s">
        <v>766</v>
      </c>
      <c r="D14">
        <f t="shared" si="0"/>
        <v>10</v>
      </c>
      <c r="E14" s="850">
        <f>COUNT(BALFWD!G:G,"&gt;0")</f>
        <v>90</v>
      </c>
    </row>
    <row r="17" spans="3:5">
      <c r="C17" t="s">
        <v>42</v>
      </c>
      <c r="E17">
        <f>SUM(E5:E16)</f>
        <v>234</v>
      </c>
    </row>
    <row r="21" spans="3:5">
      <c r="C21" t="s">
        <v>1564</v>
      </c>
    </row>
    <row r="23" spans="3:5">
      <c r="C23" t="s">
        <v>1565</v>
      </c>
      <c r="E23" t="s">
        <v>1669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81758-BE26-491F-B026-60DC48D1E58E}">
  <sheetPr codeName="Sheet32"/>
  <dimension ref="B3:D5"/>
  <sheetViews>
    <sheetView workbookViewId="0">
      <selection activeCell="F8" sqref="F8"/>
    </sheetView>
  </sheetViews>
  <sheetFormatPr defaultRowHeight="12.75"/>
  <cols>
    <col min="2" max="2" width="26.7109375" customWidth="1"/>
    <col min="3" max="3" width="26.28515625" customWidth="1"/>
  </cols>
  <sheetData>
    <row r="3" spans="2:4">
      <c r="B3" t="s">
        <v>1681</v>
      </c>
      <c r="C3" t="s">
        <v>0</v>
      </c>
      <c r="D3" t="s">
        <v>1682</v>
      </c>
    </row>
    <row r="4" spans="2:4" ht="13.5" thickBot="1"/>
    <row r="5" spans="2:4" ht="15.75" thickBot="1">
      <c r="B5" t="s">
        <v>1683</v>
      </c>
      <c r="C5" s="1286" t="s">
        <v>1684</v>
      </c>
      <c r="D5" t="str">
        <f>IF(C5="","❌ UNREGISTERED",IF(OR(C5="EZLEDGER2024",C5="ACCTPRO25",C5="BUDGETMASTER",C5="INVEST2024",C5="A5A33e9k",C5="A5M33e9k"),"✅ REGISTERED","❌ INVALID KEY"))</f>
        <v>✅ REGISTERED</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F314F-4CDC-4380-8C29-83D46498466C}">
  <sheetPr codeName="Sheet31"/>
  <dimension ref="C1:BB50"/>
  <sheetViews>
    <sheetView workbookViewId="0"/>
  </sheetViews>
  <sheetFormatPr defaultRowHeight="12.75"/>
  <cols>
    <col min="2" max="2" width="0" hidden="1" customWidth="1"/>
    <col min="3" max="3" width="36.85546875" bestFit="1" customWidth="1"/>
    <col min="4" max="4" width="58.28515625" bestFit="1" customWidth="1"/>
    <col min="5" max="5" width="27.42578125" customWidth="1"/>
  </cols>
  <sheetData>
    <row r="1" spans="3:5">
      <c r="E1" s="518"/>
    </row>
    <row r="2" spans="3:5">
      <c r="C2" s="770" t="str">
        <f>UPPER(COA!B2)</f>
        <v>ANONYMOUS COMPANY</v>
      </c>
      <c r="E2" s="770"/>
    </row>
    <row r="3" spans="3:5">
      <c r="C3" s="771" t="str">
        <f>"FOR THE YEAR ENDED "&amp;UPPER(TEXT(COA!$B$4,"MMMM DD, YYYY"))</f>
        <v>FOR THE YEAR ENDED DECEMBER 31, 2025</v>
      </c>
      <c r="E3" s="771"/>
    </row>
    <row r="4" spans="3:5">
      <c r="C4" s="772" t="s">
        <v>1065</v>
      </c>
      <c r="E4" s="772"/>
    </row>
    <row r="5" spans="3:5">
      <c r="E5" s="832"/>
    </row>
    <row r="6" spans="3:5" ht="8.25" customHeight="1"/>
    <row r="7" spans="3:5" ht="13.5" thickBot="1">
      <c r="C7" s="676" t="s">
        <v>1570</v>
      </c>
      <c r="D7" s="676" t="s">
        <v>1084</v>
      </c>
      <c r="E7" s="676" t="s">
        <v>1581</v>
      </c>
    </row>
    <row r="8" spans="3:5" ht="13.5" thickTop="1"/>
    <row r="9" spans="3:5">
      <c r="C9" t="s">
        <v>1568</v>
      </c>
      <c r="D9" s="59" t="s">
        <v>1569</v>
      </c>
    </row>
    <row r="10" spans="3:5">
      <c r="C10" t="s">
        <v>1046</v>
      </c>
      <c r="D10" s="59" t="s">
        <v>1088</v>
      </c>
      <c r="E10" s="780" t="s">
        <v>1582</v>
      </c>
    </row>
    <row r="11" spans="3:5">
      <c r="C11" t="s">
        <v>1047</v>
      </c>
      <c r="D11" s="59" t="s">
        <v>1089</v>
      </c>
      <c r="E11" s="780"/>
    </row>
    <row r="12" spans="3:5">
      <c r="C12" t="s">
        <v>1540</v>
      </c>
      <c r="D12" s="59" t="s">
        <v>1540</v>
      </c>
      <c r="E12" s="781" t="s">
        <v>1583</v>
      </c>
    </row>
    <row r="13" spans="3:5">
      <c r="C13" t="s">
        <v>1048</v>
      </c>
      <c r="D13" s="59" t="s">
        <v>1389</v>
      </c>
      <c r="E13" s="782" t="s">
        <v>1584</v>
      </c>
    </row>
    <row r="14" spans="3:5">
      <c r="C14" t="s">
        <v>1589</v>
      </c>
      <c r="D14" s="59" t="s">
        <v>1390</v>
      </c>
      <c r="E14" s="782"/>
    </row>
    <row r="15" spans="3:5">
      <c r="C15" t="s">
        <v>1590</v>
      </c>
      <c r="D15" s="59" t="s">
        <v>1392</v>
      </c>
      <c r="E15" s="782"/>
    </row>
    <row r="16" spans="3:5">
      <c r="C16" t="s">
        <v>32</v>
      </c>
      <c r="D16" s="59" t="s">
        <v>228</v>
      </c>
      <c r="E16" s="783" t="s">
        <v>1585</v>
      </c>
    </row>
    <row r="17" spans="3:5">
      <c r="C17" t="s">
        <v>1049</v>
      </c>
      <c r="D17" s="59" t="s">
        <v>116</v>
      </c>
      <c r="E17" s="783"/>
    </row>
    <row r="18" spans="3:5">
      <c r="C18" t="s">
        <v>3</v>
      </c>
      <c r="D18" s="59" t="s">
        <v>1542</v>
      </c>
      <c r="E18" s="783"/>
    </row>
    <row r="19" spans="3:5">
      <c r="C19" t="s">
        <v>1538</v>
      </c>
      <c r="D19" s="59" t="s">
        <v>1541</v>
      </c>
      <c r="E19" s="783"/>
    </row>
    <row r="20" spans="3:5">
      <c r="C20" t="s">
        <v>33</v>
      </c>
      <c r="D20" s="59" t="s">
        <v>1061</v>
      </c>
      <c r="E20" s="783"/>
    </row>
    <row r="21" spans="3:5">
      <c r="C21" t="s">
        <v>1050</v>
      </c>
      <c r="D21" s="59" t="s">
        <v>1066</v>
      </c>
      <c r="E21" s="783"/>
    </row>
    <row r="22" spans="3:5">
      <c r="C22" t="s">
        <v>50</v>
      </c>
      <c r="D22" s="59" t="s">
        <v>264</v>
      </c>
      <c r="E22" s="783"/>
    </row>
    <row r="23" spans="3:5">
      <c r="C23" t="s">
        <v>1051</v>
      </c>
      <c r="D23" s="59" t="s">
        <v>1067</v>
      </c>
      <c r="E23" s="783"/>
    </row>
    <row r="24" spans="3:5">
      <c r="C24" t="s">
        <v>272</v>
      </c>
      <c r="D24" s="59" t="s">
        <v>1062</v>
      </c>
      <c r="E24" s="783"/>
    </row>
    <row r="25" spans="3:5">
      <c r="C25" t="s">
        <v>1383</v>
      </c>
      <c r="D25" s="59" t="s">
        <v>1424</v>
      </c>
      <c r="E25" s="783"/>
    </row>
    <row r="26" spans="3:5">
      <c r="C26" t="s">
        <v>273</v>
      </c>
      <c r="D26" s="59" t="s">
        <v>1063</v>
      </c>
      <c r="E26" s="783"/>
    </row>
    <row r="27" spans="3:5">
      <c r="C27" t="s">
        <v>274</v>
      </c>
      <c r="D27" s="59" t="s">
        <v>1539</v>
      </c>
      <c r="E27" s="783"/>
    </row>
    <row r="28" spans="3:5">
      <c r="C28" t="s">
        <v>275</v>
      </c>
      <c r="D28" s="59" t="s">
        <v>335</v>
      </c>
      <c r="E28" s="783"/>
    </row>
    <row r="29" spans="3:5">
      <c r="C29" t="s">
        <v>276</v>
      </c>
      <c r="D29" s="59" t="s">
        <v>498</v>
      </c>
      <c r="E29" s="783"/>
    </row>
    <row r="30" spans="3:5">
      <c r="C30" t="s">
        <v>277</v>
      </c>
      <c r="D30" s="59" t="s">
        <v>499</v>
      </c>
      <c r="E30" s="783"/>
    </row>
    <row r="31" spans="3:5">
      <c r="C31" t="s">
        <v>1053</v>
      </c>
      <c r="D31" s="59" t="s">
        <v>1070</v>
      </c>
      <c r="E31" s="785" t="s">
        <v>1587</v>
      </c>
    </row>
    <row r="32" spans="3:5">
      <c r="C32" t="s">
        <v>1055</v>
      </c>
      <c r="D32" s="59" t="s">
        <v>1074</v>
      </c>
      <c r="E32" s="785"/>
    </row>
    <row r="33" spans="3:54">
      <c r="C33" t="s">
        <v>1056</v>
      </c>
      <c r="D33" s="59" t="s">
        <v>1075</v>
      </c>
      <c r="E33" s="785"/>
    </row>
    <row r="34" spans="3:54">
      <c r="C34" t="s">
        <v>96</v>
      </c>
      <c r="D34" s="59" t="s">
        <v>1076</v>
      </c>
      <c r="E34" s="786" t="s">
        <v>1588</v>
      </c>
    </row>
    <row r="35" spans="3:54">
      <c r="C35" t="s">
        <v>151</v>
      </c>
      <c r="D35" s="59" t="s">
        <v>1378</v>
      </c>
      <c r="E35" s="786"/>
    </row>
    <row r="36" spans="3:54">
      <c r="C36" t="s">
        <v>1373</v>
      </c>
      <c r="D36" s="59" t="s">
        <v>1077</v>
      </c>
      <c r="E36" s="786"/>
      <c r="BB36" t="str">
        <f>CR!BC1</f>
        <v xml:space="preserve"> </v>
      </c>
    </row>
    <row r="37" spans="3:54">
      <c r="C37" t="s">
        <v>1377</v>
      </c>
      <c r="D37" s="59" t="s">
        <v>1376</v>
      </c>
      <c r="E37" s="786"/>
    </row>
    <row r="38" spans="3:54">
      <c r="C38" t="s">
        <v>1619</v>
      </c>
      <c r="D38" s="59" t="s">
        <v>1618</v>
      </c>
      <c r="E38" s="786"/>
    </row>
    <row r="39" spans="3:54">
      <c r="C39" t="s">
        <v>674</v>
      </c>
      <c r="D39" s="59" t="s">
        <v>1087</v>
      </c>
      <c r="E39" s="786"/>
    </row>
    <row r="40" spans="3:54">
      <c r="C40" t="s">
        <v>150</v>
      </c>
      <c r="D40" s="59" t="s">
        <v>1078</v>
      </c>
      <c r="E40" s="786"/>
    </row>
    <row r="41" spans="3:54">
      <c r="C41" t="s">
        <v>1057</v>
      </c>
      <c r="D41" s="59" t="s">
        <v>163</v>
      </c>
      <c r="E41" s="786"/>
    </row>
    <row r="42" spans="3:54">
      <c r="C42" t="s">
        <v>1058</v>
      </c>
      <c r="D42" s="59" t="s">
        <v>1079</v>
      </c>
      <c r="E42" s="786"/>
    </row>
    <row r="43" spans="3:54">
      <c r="C43" t="s">
        <v>1059</v>
      </c>
      <c r="D43" s="59" t="s">
        <v>1080</v>
      </c>
      <c r="E43" s="786"/>
    </row>
    <row r="44" spans="3:54">
      <c r="C44" t="s">
        <v>766</v>
      </c>
      <c r="D44" s="59" t="s">
        <v>1081</v>
      </c>
      <c r="E44" s="786"/>
    </row>
    <row r="45" spans="3:54">
      <c r="C45" t="s">
        <v>1052</v>
      </c>
      <c r="D45" s="59" t="s">
        <v>1068</v>
      </c>
      <c r="E45" s="784" t="s">
        <v>1586</v>
      </c>
    </row>
    <row r="46" spans="3:54">
      <c r="C46" t="s">
        <v>1090</v>
      </c>
      <c r="D46" s="59" t="s">
        <v>1071</v>
      </c>
      <c r="E46" s="784"/>
    </row>
    <row r="47" spans="3:54">
      <c r="C47" t="s">
        <v>1091</v>
      </c>
      <c r="D47" s="59" t="s">
        <v>1072</v>
      </c>
      <c r="E47" s="784"/>
    </row>
    <row r="48" spans="3:54">
      <c r="C48" t="s">
        <v>1651</v>
      </c>
      <c r="D48" s="59" t="s">
        <v>1082</v>
      </c>
      <c r="E48" s="784"/>
    </row>
    <row r="49" spans="3:5">
      <c r="C49" t="s">
        <v>1060</v>
      </c>
      <c r="D49" s="59" t="s">
        <v>1083</v>
      </c>
      <c r="E49" s="784"/>
    </row>
    <row r="50" spans="3:5">
      <c r="C50" t="s">
        <v>1054</v>
      </c>
      <c r="D50" s="59" t="s">
        <v>1073</v>
      </c>
      <c r="E50" s="784" t="s">
        <v>0</v>
      </c>
    </row>
  </sheetData>
  <hyperlinks>
    <hyperlink ref="D9" location="'Splash'!C1" display="Go to Splash" xr:uid="{D58F3779-B1E0-4860-93A1-D9AE0D0016D9}"/>
    <hyperlink ref="D10" location="'FS_2YRS'!C1" display="COMPARATIVE 2 YEAR FINANICAL STATEMENTS" xr:uid="{270424E4-5627-4B14-8AA9-C14140803CDD}"/>
    <hyperlink ref="D11" location="'FS_5YRS'!C1" display="COMPARATIVE 5 YEAR FINANICAL STATEMENTS" xr:uid="{76DBE816-5FD3-45E8-BEB1-47C86AD3A517}"/>
    <hyperlink ref="D12" location="'Ai PROMPT AND RESPONSE'!C1" display="Ai PROMPT AND RESPONSE" xr:uid="{A2B6CE48-44C7-4A4E-BF97-82A11D879312}"/>
    <hyperlink ref="D13" location="'TB_FS'!C1" display="GENERAL LEDGER TRAIL BALANCE BY FSLINE" xr:uid="{D87ABD58-1694-46CB-B06B-B6A10A904F6C}"/>
    <hyperlink ref="D14" location="'PT_TB'!C1" display="GENERAL LEDGER TRAIL BALANCE " xr:uid="{844F6CD0-B80F-49DD-BD6C-7D35A026E3C1}"/>
    <hyperlink ref="D15" location="'PT_GL'!C1" display="GENERAL LEDGER " xr:uid="{90AB994E-3513-4C82-B74D-6D2DF9C6B685}"/>
    <hyperlink ref="D16" location="'A'!C1" display="CASH" xr:uid="{0FC56503-B652-4613-A252-D4B4DEA36EFD}"/>
    <hyperlink ref="D17" location="'A1'!C1" display="BANK RECONCILATION" xr:uid="{21BA544E-2F35-4F09-B3E1-2F3C28281F26}"/>
    <hyperlink ref="D18" location="'B'!C1" display="MARKETABLE SECURITIES -HOLDINGS" xr:uid="{A75E726E-13C4-4D25-AC2C-005D4CDB06E0}"/>
    <hyperlink ref="D19" location="'B.1'!C1" display="MARKETABLE SECURITIES TRADES" xr:uid="{4A62F833-9FF8-44D5-B41D-BF1850A79B96}"/>
    <hyperlink ref="D20" location="'C'!C1" display="ACCOUNTS RECEIVABLE" xr:uid="{6ED27AC2-7A69-4B82-A68A-DECDE1239B04}"/>
    <hyperlink ref="D21" location="'C.1'!C1" display="ACCOUNTS RECEIVABLE LISTING" xr:uid="{1C6009E1-5668-42AE-908C-15B9FE97F86E}"/>
    <hyperlink ref="D22" location="'U'!C1" display="CAPITAL ASSETS" xr:uid="{5318C650-48B3-4294-90F7-29BCC946B905}"/>
    <hyperlink ref="D23" location="'U1'!C1" display="CAPITAL ASSETS CONTINUITY SCHEDULE" xr:uid="{C73B0EFB-33C0-4D13-8244-E64FDF1791CF}"/>
    <hyperlink ref="D24" location="'BB'!C1" display="ACCOUNTS PAYABLE" xr:uid="{C6B3DE43-A0E8-4DA2-B74D-938BDA24B422}"/>
    <hyperlink ref="D25" location="'BB1'!C1" display="ACCOUNTS PAYABLE LISTING" xr:uid="{4C2F897C-5ED3-45F1-A083-30FC37DB29F6}"/>
    <hyperlink ref="D26" location="'DD'!C1" display="GOVERNMENT REMITTANCES" xr:uid="{00CB7428-AE55-4C5C-A810-1AB8A6CCC75A}"/>
    <hyperlink ref="D27" location="'FF'!C1" display="CORPORATE INCOME TAX" xr:uid="{BA3DBE37-BE40-45B9-A703-D4AE20C4D3A8}"/>
    <hyperlink ref="D28" location="'GG'!C1" display="DUE TO RELATED PARTIES" xr:uid="{1733744A-72D5-4BAE-859F-5433A933899E}"/>
    <hyperlink ref="D29" location="'KK'!C1" display="LONG TERM LIABILITIES" xr:uid="{0E897F81-FBA1-4CC9-A2E4-7436F1FAB29B}"/>
    <hyperlink ref="D30" location="'UU'!C1" display="SHAREHOLDERS' EQUITY" xr:uid="{352F4D76-DCAF-4E7E-B711-CE7C8D7E0618}"/>
    <hyperlink ref="D31" location="'T_Wksheet'!C1" display="WORKING PAPER TEMPLATE " xr:uid="{5014D1B7-6435-4364-9722-17F40331DE0E}"/>
    <hyperlink ref="D32" location="'RPT_CHEQUE'!C1" display="CHEQUE TEMPLATE" xr:uid="{C403C869-D763-4A20-BE27-5E11651CEE72}"/>
    <hyperlink ref="D33" location="'RPT INVOICE'!C1" display="INVOICE TEMPLATE" xr:uid="{2FC6BF35-FA27-4271-9C0A-E48C96312F38}"/>
    <hyperlink ref="D34" location="'CR'!C1" display="CASH RECEIPTS JOURNAL" xr:uid="{1DAF197C-0677-4560-9280-3D9D6F2C2A34}"/>
    <hyperlink ref="D35" location="'PJ'!C1" display="PURCHASE JOURNAL" xr:uid="{38C5EF20-56AE-48EC-8240-9B631B076956}"/>
    <hyperlink ref="D36" location="'CCJ'!C1" display="CREDIT CARD JOURNAL" xr:uid="{0C6B96EF-AEC1-455A-905E-83733AA9A97F}"/>
    <hyperlink ref="D37" location="'WJ'!C1" display="WAGE JOURNAL" xr:uid="{BBFEF147-DE32-448C-B2AA-0963880E0F05}"/>
    <hyperlink ref="D38" location="'WJ_SUM'!C1" display="WAGE SUM JOURNAL" xr:uid="{69D7B6C5-88ED-41B4-9041-2AD90780C222}"/>
    <hyperlink ref="D39" location="'CD'!C1" display="CHEQUE DISBURSEMENTS JOURNALS" xr:uid="{C09F18AC-3A29-4EED-92FA-639412135495}"/>
    <hyperlink ref="D40" location="'SJ'!C1" display="SALES JOURNAL" xr:uid="{080584FE-1F27-4F7A-B271-E993B81712B8}"/>
    <hyperlink ref="D41" location="'GJ'!C1" display="GENERAL JOURNAL" xr:uid="{B1741F65-4A70-4691-81A4-DBA82A828C84}"/>
    <hyperlink ref="D42" location="'BK_CDN'!C1" display="CANADIAN BROKER JOURNAL " xr:uid="{420E3A84-43A5-4AA8-8A97-BA1B1711DE3E}"/>
    <hyperlink ref="D43" location="'BK_US'!C1" display="US BROKER JOURNAL " xr:uid="{34DE3F41-47C9-4E1E-AD8D-25C0DD48AB4A}"/>
    <hyperlink ref="D44" location="'BALFWD'!C1" display="OPENING BALANCES " xr:uid="{75B6C705-C446-4946-9D29-71265D7D62E1}"/>
    <hyperlink ref="D45" location="'COA'!C1" display="CHART OF ACCOUNTS " xr:uid="{47A0D3C8-A9D5-478A-88D0-795878510F4F}"/>
    <hyperlink ref="D46" location="'VENDORS'!C1" display="VENDOR MASTER FILE" xr:uid="{CF4BFE3C-FCC2-4382-B5CD-2E72BFFB838E}"/>
    <hyperlink ref="D47" location="'SYMBOLS'!C1" display="MASTER SYMBOL FILE" xr:uid="{8C05A279-C2E6-4723-9858-4B410A6C8C1D}"/>
    <hyperlink ref="D48" location="'Broker_mapping'!C1" display="MAPPING OF BROKERS TRANSACTIONS TO TRANSACTION TYPE" xr:uid="{6B1B1BDA-45F5-44F6-B0C2-ADFD5F7AC518}"/>
    <hyperlink ref="D49" location="'STAFF'!C1" display="EMPLOYEE MASTER FILE" xr:uid="{1123A20F-06DB-40A6-8D8D-FDB65DC7A778}"/>
    <hyperlink ref="D50" location="'CUSTOMERS'!C1" display="MASTER CUSTOMER FILE" xr:uid="{EE78340A-8152-4749-8985-B552527C94E3}"/>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4D412-CEBB-4584-842F-81A8385D9C02}">
  <sheetPr codeName="Sheet11"/>
  <dimension ref="A1:D22"/>
  <sheetViews>
    <sheetView workbookViewId="0">
      <selection activeCell="C2" sqref="C2"/>
    </sheetView>
  </sheetViews>
  <sheetFormatPr defaultRowHeight="12.75"/>
  <cols>
    <col min="2" max="2" width="24.42578125" customWidth="1"/>
    <col min="3" max="3" width="10.85546875" customWidth="1"/>
  </cols>
  <sheetData>
    <row r="1" spans="1:4">
      <c r="A1">
        <f>D16</f>
        <v>243</v>
      </c>
      <c r="B1">
        <v>0</v>
      </c>
      <c r="C1" s="3" t="s">
        <v>1669</v>
      </c>
    </row>
    <row r="3" spans="1:4">
      <c r="B3" t="s">
        <v>1563</v>
      </c>
    </row>
    <row r="4" spans="1:4">
      <c r="B4" t="s">
        <v>96</v>
      </c>
      <c r="C4">
        <v>1</v>
      </c>
      <c r="D4" s="850">
        <f>COUNT(CR!G:G,"&gt;0")</f>
        <v>4</v>
      </c>
    </row>
    <row r="5" spans="1:4">
      <c r="B5" t="s">
        <v>151</v>
      </c>
      <c r="C5">
        <f>C4+1</f>
        <v>2</v>
      </c>
      <c r="D5" s="850">
        <f>COUNT(PJ!G:G,"&gt;0")</f>
        <v>5</v>
      </c>
    </row>
    <row r="6" spans="1:4">
      <c r="B6" t="s">
        <v>1373</v>
      </c>
      <c r="C6">
        <f t="shared" ref="C6:C13" si="0">C5+1</f>
        <v>3</v>
      </c>
      <c r="D6" s="850">
        <f>COUNT(CCJ!J:J,"&gt;0")</f>
        <v>16</v>
      </c>
    </row>
    <row r="7" spans="1:4">
      <c r="B7" t="s">
        <v>1377</v>
      </c>
      <c r="C7">
        <f t="shared" si="0"/>
        <v>4</v>
      </c>
      <c r="D7" s="850">
        <f>COUNT(WJ!H:H,"&gt;0")</f>
        <v>7</v>
      </c>
    </row>
    <row r="8" spans="1:4">
      <c r="B8" t="s">
        <v>674</v>
      </c>
      <c r="C8">
        <f t="shared" si="0"/>
        <v>5</v>
      </c>
      <c r="D8" s="850">
        <f>COUNTIF(CD!L6:L41,"&lt;0")</f>
        <v>10</v>
      </c>
    </row>
    <row r="9" spans="1:4">
      <c r="B9" t="s">
        <v>150</v>
      </c>
      <c r="C9">
        <f t="shared" si="0"/>
        <v>6</v>
      </c>
      <c r="D9" s="850">
        <f>COUNTIF(SJ!L9:L35,"&gt;0")</f>
        <v>4</v>
      </c>
    </row>
    <row r="10" spans="1:4">
      <c r="B10" t="s">
        <v>1057</v>
      </c>
      <c r="C10">
        <f t="shared" si="0"/>
        <v>7</v>
      </c>
      <c r="D10" s="850">
        <f>COUNT(GJ!G:G,"&gt;0")</f>
        <v>14</v>
      </c>
    </row>
    <row r="11" spans="1:4">
      <c r="B11" t="s">
        <v>1058</v>
      </c>
      <c r="C11">
        <f t="shared" si="0"/>
        <v>8</v>
      </c>
      <c r="D11" s="850">
        <f>COUNT(BK_CDN!J:J,"&gt;0")</f>
        <v>67</v>
      </c>
    </row>
    <row r="12" spans="1:4">
      <c r="B12" t="s">
        <v>1059</v>
      </c>
      <c r="C12">
        <f t="shared" si="0"/>
        <v>9</v>
      </c>
      <c r="D12" s="850">
        <f>COUNT(BK_US!J:J,"&gt;0")</f>
        <v>26</v>
      </c>
    </row>
    <row r="13" spans="1:4">
      <c r="B13" t="s">
        <v>766</v>
      </c>
      <c r="C13">
        <f t="shared" si="0"/>
        <v>10</v>
      </c>
      <c r="D13" s="850">
        <f>COUNT(BALFWD!G:G,"&gt;0")</f>
        <v>90</v>
      </c>
    </row>
    <row r="16" spans="1:4">
      <c r="B16" t="s">
        <v>42</v>
      </c>
      <c r="D16">
        <f>SUM(D4:D15)</f>
        <v>243</v>
      </c>
    </row>
    <row r="20" spans="2:4">
      <c r="B20" t="s">
        <v>1564</v>
      </c>
    </row>
    <row r="22" spans="2:4">
      <c r="B22" t="s">
        <v>1565</v>
      </c>
      <c r="D22" t="s">
        <v>1669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FB4E8-667A-49A9-8740-1EF7E5F6916C}">
  <sheetPr codeName="Sheet18"/>
  <dimension ref="A1:F36"/>
  <sheetViews>
    <sheetView workbookViewId="0">
      <selection activeCell="C13" sqref="C13"/>
    </sheetView>
  </sheetViews>
  <sheetFormatPr defaultRowHeight="12.75"/>
  <cols>
    <col min="1" max="1" width="25.28515625" customWidth="1"/>
    <col min="2" max="2" width="31.28515625" style="778" customWidth="1"/>
    <col min="3" max="3" width="34.42578125" customWidth="1"/>
    <col min="4" max="4" width="19.85546875" customWidth="1"/>
    <col min="5" max="5" width="21" customWidth="1"/>
    <col min="6" max="6" width="17.85546875" customWidth="1"/>
  </cols>
  <sheetData>
    <row r="1" spans="1:6">
      <c r="A1" t="s">
        <v>1575</v>
      </c>
      <c r="B1" t="s">
        <v>1576</v>
      </c>
      <c r="C1" t="s">
        <v>1577</v>
      </c>
      <c r="D1" t="s">
        <v>1578</v>
      </c>
      <c r="E1" t="s">
        <v>1579</v>
      </c>
      <c r="F1" t="s">
        <v>1580</v>
      </c>
    </row>
    <row r="2" spans="1:6">
      <c r="A2" s="777">
        <v>45958.57949074074</v>
      </c>
      <c r="B2" s="778" t="s">
        <v>1670</v>
      </c>
      <c r="C2" t="s">
        <v>1671</v>
      </c>
      <c r="D2" t="s">
        <v>1672</v>
      </c>
      <c r="E2" t="s">
        <v>1673</v>
      </c>
    </row>
    <row r="3" spans="1:6">
      <c r="A3" s="777">
        <v>45958.579861111109</v>
      </c>
      <c r="B3" s="778" t="s">
        <v>1670</v>
      </c>
      <c r="C3" t="s">
        <v>1671</v>
      </c>
      <c r="D3" t="s">
        <v>1672</v>
      </c>
      <c r="E3" t="s">
        <v>1673</v>
      </c>
    </row>
    <row r="4" spans="1:6">
      <c r="A4" s="777">
        <v>45958.694849537038</v>
      </c>
      <c r="B4" s="778" t="s">
        <v>1670</v>
      </c>
      <c r="C4" t="s">
        <v>1671</v>
      </c>
      <c r="D4" t="s">
        <v>1672</v>
      </c>
      <c r="E4" t="s">
        <v>1673</v>
      </c>
    </row>
    <row r="5" spans="1:6">
      <c r="A5" s="777">
        <v>45958.737430555557</v>
      </c>
      <c r="B5" s="778" t="s">
        <v>1674</v>
      </c>
      <c r="C5" t="s">
        <v>1671</v>
      </c>
      <c r="D5" t="s">
        <v>1672</v>
      </c>
      <c r="E5" t="s">
        <v>1675</v>
      </c>
    </row>
    <row r="6" spans="1:6">
      <c r="A6" s="777">
        <v>45958.737650462965</v>
      </c>
      <c r="B6" s="778" t="s">
        <v>1676</v>
      </c>
      <c r="C6" t="s">
        <v>1671</v>
      </c>
      <c r="D6" t="s">
        <v>1678</v>
      </c>
      <c r="E6" t="s">
        <v>1679</v>
      </c>
      <c r="F6" t="s">
        <v>1680</v>
      </c>
    </row>
    <row r="7" spans="1:6">
      <c r="A7" s="777"/>
    </row>
    <row r="8" spans="1:6">
      <c r="A8" s="777"/>
    </row>
    <row r="9" spans="1:6">
      <c r="A9" s="777"/>
    </row>
    <row r="10" spans="1:6">
      <c r="A10" s="777"/>
    </row>
    <row r="11" spans="1:6">
      <c r="A11" s="777"/>
    </row>
    <row r="12" spans="1:6">
      <c r="A12" s="777"/>
    </row>
    <row r="13" spans="1:6">
      <c r="A13" s="777"/>
    </row>
    <row r="14" spans="1:6">
      <c r="A14" s="777"/>
    </row>
    <row r="15" spans="1:6">
      <c r="A15" s="777"/>
    </row>
    <row r="16" spans="1:6">
      <c r="A16" s="777"/>
      <c r="B16" s="779"/>
    </row>
    <row r="17" spans="1:1">
      <c r="A17" s="777"/>
    </row>
    <row r="18" spans="1:1">
      <c r="A18" s="777"/>
    </row>
    <row r="19" spans="1:1">
      <c r="A19" s="777"/>
    </row>
    <row r="20" spans="1:1">
      <c r="A20" s="777"/>
    </row>
    <row r="21" spans="1:1">
      <c r="A21" s="777"/>
    </row>
    <row r="22" spans="1:1">
      <c r="A22" s="777"/>
    </row>
    <row r="23" spans="1:1">
      <c r="A23" s="777"/>
    </row>
    <row r="24" spans="1:1">
      <c r="A24" s="777"/>
    </row>
    <row r="25" spans="1:1">
      <c r="A25" s="777"/>
    </row>
    <row r="26" spans="1:1">
      <c r="A26" s="777"/>
    </row>
    <row r="27" spans="1:1">
      <c r="A27" s="777"/>
    </row>
    <row r="28" spans="1:1">
      <c r="A28" s="777"/>
    </row>
    <row r="29" spans="1:1">
      <c r="A29" s="777"/>
    </row>
    <row r="30" spans="1:1">
      <c r="A30" s="777"/>
    </row>
    <row r="31" spans="1:1">
      <c r="A31" s="777"/>
    </row>
    <row r="32" spans="1:1">
      <c r="A32" s="777"/>
    </row>
    <row r="33" spans="1:1">
      <c r="A33" s="777"/>
    </row>
    <row r="34" spans="1:1">
      <c r="A34" s="777"/>
    </row>
    <row r="35" spans="1:1">
      <c r="A35" s="777"/>
    </row>
    <row r="36" spans="1:1">
      <c r="A36" s="777"/>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3E93-E220-470D-BB53-4C970109E9F9}">
  <sheetPr codeName="Sheet29"/>
  <dimension ref="A1:E2"/>
  <sheetViews>
    <sheetView workbookViewId="0">
      <selection activeCell="A2" sqref="A2:E2"/>
    </sheetView>
  </sheetViews>
  <sheetFormatPr defaultRowHeight="12.75"/>
  <cols>
    <col min="1" max="1" width="22.140625" style="778" customWidth="1"/>
    <col min="2" max="2" width="17.85546875" customWidth="1"/>
    <col min="3" max="3" width="16.28515625" customWidth="1"/>
    <col min="4" max="4" width="13.140625" customWidth="1"/>
    <col min="5" max="5" width="13" customWidth="1"/>
  </cols>
  <sheetData>
    <row r="1" spans="1:5">
      <c r="A1" s="778" t="s">
        <v>1572</v>
      </c>
      <c r="B1" t="s">
        <v>1573</v>
      </c>
      <c r="C1" t="s">
        <v>1571</v>
      </c>
      <c r="D1" t="s">
        <v>1574</v>
      </c>
      <c r="E1" t="s">
        <v>1566</v>
      </c>
    </row>
    <row r="2" spans="1:5">
      <c r="A2" s="778" t="s">
        <v>1676</v>
      </c>
      <c r="B2" s="105">
        <v>45958</v>
      </c>
      <c r="C2" s="105">
        <v>45989</v>
      </c>
      <c r="D2" t="s">
        <v>38</v>
      </c>
      <c r="E2" t="s">
        <v>1677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BAA08-620E-4AEE-841B-E7A16DF10F35}">
  <sheetPr codeName="Sheet4">
    <tabColor rgb="FF92D050"/>
    <pageSetUpPr fitToPage="1"/>
  </sheetPr>
  <dimension ref="A1:K334"/>
  <sheetViews>
    <sheetView showGridLines="0" topLeftCell="A285" zoomScaleNormal="100" workbookViewId="0">
      <selection activeCell="G290" sqref="G290"/>
    </sheetView>
  </sheetViews>
  <sheetFormatPr defaultColWidth="9.140625" defaultRowHeight="15" customHeight="1"/>
  <cols>
    <col min="1" max="1" width="9.140625" style="262"/>
    <col min="2" max="2" width="11.140625" style="262" customWidth="1"/>
    <col min="3" max="3" width="11.140625" style="287" customWidth="1"/>
    <col min="4" max="4" width="38.85546875" style="262" customWidth="1"/>
    <col min="5" max="5" width="11.140625" style="262" customWidth="1"/>
    <col min="6" max="6" width="14.7109375" style="262" customWidth="1"/>
    <col min="7" max="7" width="12.140625" style="262" customWidth="1"/>
    <col min="8" max="8" width="11.140625" style="262" customWidth="1"/>
    <col min="9" max="10" width="9.140625" style="262"/>
    <col min="11" max="11" width="10.85546875" style="262" customWidth="1"/>
    <col min="12" max="13" width="9.140625" style="262"/>
    <col min="14" max="14" width="12.28515625" style="262" customWidth="1"/>
    <col min="15" max="16384" width="9.140625" style="262"/>
  </cols>
  <sheetData>
    <row r="1" spans="1:8" ht="15" customHeight="1">
      <c r="A1" s="59" t="s">
        <v>1650</v>
      </c>
      <c r="B1" s="259"/>
      <c r="C1" s="284" t="s">
        <v>1088</v>
      </c>
      <c r="D1" s="259"/>
      <c r="E1" s="261"/>
      <c r="F1" s="261"/>
      <c r="G1" s="261"/>
      <c r="H1" s="259"/>
    </row>
    <row r="2" spans="1:8" ht="26.25" customHeight="1">
      <c r="A2" s="259"/>
      <c r="B2" s="259"/>
      <c r="C2" s="285"/>
      <c r="D2" s="1287"/>
      <c r="E2" s="1287"/>
      <c r="F2" s="1287"/>
      <c r="G2" s="1287"/>
    </row>
    <row r="3" spans="1:8" ht="19.5" customHeight="1">
      <c r="A3" s="262" t="s">
        <v>0</v>
      </c>
      <c r="B3" s="263" t="s">
        <v>270</v>
      </c>
      <c r="C3" s="286" t="s">
        <v>671</v>
      </c>
      <c r="D3" s="690" t="s">
        <v>0</v>
      </c>
      <c r="E3" s="690" t="s">
        <v>46</v>
      </c>
      <c r="F3" s="690" t="s">
        <v>315</v>
      </c>
      <c r="G3" s="690" t="s">
        <v>1385</v>
      </c>
      <c r="H3" s="262" t="s">
        <v>1386</v>
      </c>
    </row>
    <row r="4" spans="1:8" ht="19.5" customHeight="1">
      <c r="B4" s="329"/>
      <c r="C4" s="330"/>
      <c r="D4" s="329"/>
      <c r="E4" s="264" t="s">
        <v>0</v>
      </c>
      <c r="F4" s="329"/>
      <c r="G4" s="329"/>
      <c r="H4" s="331"/>
    </row>
    <row r="5" spans="1:8" ht="19.5" customHeight="1">
      <c r="B5" s="291"/>
      <c r="C5" s="292"/>
      <c r="E5" s="243"/>
      <c r="F5" s="252"/>
      <c r="G5" s="243"/>
      <c r="H5" s="252"/>
    </row>
    <row r="6" spans="1:8" ht="19.5" customHeight="1">
      <c r="B6" s="291" t="s">
        <v>0</v>
      </c>
      <c r="C6" s="292"/>
      <c r="E6" s="243" t="s">
        <v>0</v>
      </c>
      <c r="F6" s="252" t="s">
        <v>0</v>
      </c>
      <c r="G6" s="243" t="s">
        <v>0</v>
      </c>
      <c r="H6" s="252" t="s">
        <v>0</v>
      </c>
    </row>
    <row r="7" spans="1:8" ht="180" customHeight="1">
      <c r="B7" s="291" t="s">
        <v>0</v>
      </c>
      <c r="C7" s="292"/>
      <c r="D7" s="439" t="s">
        <v>0</v>
      </c>
      <c r="E7" s="441"/>
      <c r="F7" s="439"/>
      <c r="G7" s="441"/>
      <c r="H7" s="442" t="str">
        <f>UPPER(COA!$B$2)</f>
        <v>ANONYMOUS COMPANY</v>
      </c>
    </row>
    <row r="8" spans="1:8" ht="19.5" customHeight="1">
      <c r="B8" s="291"/>
      <c r="C8" s="292"/>
      <c r="D8" s="267"/>
      <c r="E8" s="243"/>
      <c r="F8" s="252"/>
      <c r="G8" s="443"/>
      <c r="H8" s="459" t="str">
        <f>(TEXT(COA!$B$4,"MMMM DD, YYYY"))</f>
        <v>December 31, 2025</v>
      </c>
    </row>
    <row r="9" spans="1:8" ht="19.5" customHeight="1">
      <c r="B9" s="291"/>
      <c r="C9" s="292"/>
      <c r="D9" s="264"/>
      <c r="E9" s="291"/>
      <c r="F9" s="264"/>
      <c r="G9" s="291"/>
      <c r="H9" s="294"/>
    </row>
    <row r="10" spans="1:8" ht="45.6" customHeight="1">
      <c r="B10" s="291"/>
      <c r="C10" s="292"/>
      <c r="D10" s="252"/>
      <c r="E10" s="243"/>
      <c r="F10" s="252"/>
      <c r="G10" s="332"/>
      <c r="H10" s="442" t="str">
        <f>UPPER(COA!$B$2)</f>
        <v>ANONYMOUS COMPANY</v>
      </c>
    </row>
    <row r="11" spans="1:8" ht="18" customHeight="1">
      <c r="B11" s="291" t="s">
        <v>0</v>
      </c>
      <c r="C11" s="292"/>
      <c r="D11" s="243" t="s">
        <v>0</v>
      </c>
      <c r="E11" s="243"/>
      <c r="F11" s="252"/>
      <c r="G11" s="332"/>
      <c r="H11" s="440" t="s">
        <v>537</v>
      </c>
    </row>
    <row r="12" spans="1:8" ht="15" customHeight="1" thickBot="1">
      <c r="B12" s="291"/>
      <c r="C12" s="292"/>
      <c r="D12" s="448"/>
      <c r="E12" s="460"/>
      <c r="F12" s="461"/>
      <c r="G12" s="460"/>
      <c r="H12" s="462" t="str">
        <f>"For the year ended "&amp;(TEXT(COA!$B$4,"MMMM DD, YYYY"))</f>
        <v>For the year ended December 31, 2025</v>
      </c>
    </row>
    <row r="13" spans="1:8" ht="15" customHeight="1" thickTop="1">
      <c r="B13" s="291" t="s">
        <v>0</v>
      </c>
      <c r="C13" s="291" t="s">
        <v>0</v>
      </c>
      <c r="D13" s="291" t="s">
        <v>0</v>
      </c>
      <c r="E13" s="291" t="s">
        <v>0</v>
      </c>
      <c r="F13" s="291" t="s">
        <v>0</v>
      </c>
      <c r="G13" s="291" t="s">
        <v>0</v>
      </c>
      <c r="H13" s="291" t="s">
        <v>0</v>
      </c>
    </row>
    <row r="14" spans="1:8" ht="34.5" customHeight="1">
      <c r="B14" s="291"/>
      <c r="C14" s="292"/>
      <c r="D14" s="293" t="s">
        <v>0</v>
      </c>
      <c r="E14" s="291"/>
      <c r="F14" s="264"/>
      <c r="G14" s="291"/>
      <c r="H14" s="294"/>
    </row>
    <row r="15" spans="1:8" ht="17.25" customHeight="1">
      <c r="B15" s="291"/>
      <c r="C15" s="292"/>
      <c r="D15" s="293"/>
      <c r="E15" s="291"/>
      <c r="F15" s="264"/>
      <c r="G15" s="291"/>
      <c r="H15" s="294"/>
    </row>
    <row r="16" spans="1:8" ht="17.45" customHeight="1">
      <c r="B16" s="291"/>
      <c r="C16" s="292"/>
      <c r="D16" s="293" t="s">
        <v>630</v>
      </c>
      <c r="E16" s="291"/>
      <c r="F16" s="264"/>
      <c r="G16" s="291"/>
      <c r="H16" s="294"/>
    </row>
    <row r="17" spans="2:8" ht="17.45" customHeight="1">
      <c r="B17" s="291"/>
      <c r="C17" s="292"/>
      <c r="D17" s="293" t="s">
        <v>632</v>
      </c>
      <c r="E17" s="291"/>
      <c r="F17" s="264"/>
      <c r="G17" s="291"/>
      <c r="H17" s="294"/>
    </row>
    <row r="18" spans="2:8" ht="17.45" customHeight="1">
      <c r="B18" s="291"/>
      <c r="C18" s="292"/>
      <c r="D18" s="293" t="s">
        <v>295</v>
      </c>
      <c r="E18" s="291"/>
      <c r="F18" s="264"/>
      <c r="G18" s="291"/>
      <c r="H18" s="294"/>
    </row>
    <row r="19" spans="2:8" ht="17.45" customHeight="1">
      <c r="B19" s="291" t="s">
        <v>0</v>
      </c>
      <c r="C19" s="292"/>
      <c r="D19" s="293" t="s">
        <v>296</v>
      </c>
      <c r="E19" s="291"/>
      <c r="F19" s="264"/>
      <c r="G19" s="291"/>
      <c r="H19" s="294"/>
    </row>
    <row r="20" spans="2:8" ht="17.45" customHeight="1">
      <c r="B20" s="291" t="s">
        <v>0</v>
      </c>
      <c r="C20" s="292"/>
      <c r="D20" s="293" t="s">
        <v>297</v>
      </c>
      <c r="E20" s="291"/>
      <c r="F20" s="264"/>
      <c r="G20" s="291"/>
      <c r="H20" s="294"/>
    </row>
    <row r="21" spans="2:8" ht="17.45" customHeight="1">
      <c r="B21" s="291"/>
      <c r="C21" s="292"/>
      <c r="D21" s="293" t="s">
        <v>298</v>
      </c>
      <c r="E21" s="291"/>
      <c r="F21" s="264"/>
      <c r="G21" s="291"/>
      <c r="H21" s="294"/>
    </row>
    <row r="22" spans="2:8" ht="17.45" customHeight="1">
      <c r="B22" s="291" t="s">
        <v>0</v>
      </c>
      <c r="C22" s="292"/>
      <c r="D22" s="293" t="s">
        <v>299</v>
      </c>
      <c r="E22" s="291"/>
      <c r="F22" s="264"/>
      <c r="G22" s="291" t="s">
        <v>0</v>
      </c>
      <c r="H22" s="294" t="s">
        <v>0</v>
      </c>
    </row>
    <row r="23" spans="2:8" ht="17.45" customHeight="1">
      <c r="B23" s="291"/>
      <c r="C23" s="292"/>
      <c r="D23" s="293" t="s">
        <v>0</v>
      </c>
      <c r="E23" s="291"/>
      <c r="F23" s="264"/>
      <c r="G23" s="291"/>
      <c r="H23" s="294"/>
    </row>
    <row r="24" spans="2:8" ht="15" customHeight="1">
      <c r="B24" s="329"/>
      <c r="C24" s="330"/>
      <c r="D24" s="329"/>
      <c r="E24" s="264"/>
      <c r="F24" s="329"/>
      <c r="G24" s="329"/>
      <c r="H24" s="331"/>
    </row>
    <row r="25" spans="2:8" ht="15" customHeight="1">
      <c r="B25" s="329" t="s">
        <v>0</v>
      </c>
      <c r="C25" s="330"/>
      <c r="D25" s="329"/>
      <c r="E25" s="264"/>
      <c r="F25" s="329"/>
      <c r="G25" s="329" t="e">
        <f>#REF!*-1</f>
        <v>#REF!</v>
      </c>
      <c r="H25" s="331" t="s">
        <v>0</v>
      </c>
    </row>
    <row r="26" spans="2:8" ht="15" customHeight="1">
      <c r="B26" s="329" t="s">
        <v>0</v>
      </c>
      <c r="C26" s="330"/>
      <c r="D26" s="252" t="s">
        <v>0</v>
      </c>
      <c r="E26" s="243" t="s">
        <v>0</v>
      </c>
      <c r="F26" s="243" t="s">
        <v>0</v>
      </c>
      <c r="G26" s="243"/>
      <c r="H26" s="252"/>
    </row>
    <row r="27" spans="2:8" ht="15" customHeight="1">
      <c r="B27" s="329" t="s">
        <v>0</v>
      </c>
      <c r="C27" s="330"/>
      <c r="D27" s="243" t="s">
        <v>0</v>
      </c>
      <c r="E27" s="243" t="s">
        <v>0</v>
      </c>
      <c r="F27" s="243"/>
      <c r="G27" s="243"/>
      <c r="H27" s="252"/>
    </row>
    <row r="28" spans="2:8" ht="15" customHeight="1">
      <c r="B28" s="329" t="s">
        <v>0</v>
      </c>
      <c r="C28" s="330"/>
      <c r="D28" s="252" t="s">
        <v>0</v>
      </c>
      <c r="E28" s="243"/>
      <c r="F28" s="243"/>
      <c r="G28" s="243"/>
      <c r="H28" s="442" t="str">
        <f>UPPER(COA!$B$2)</f>
        <v>ANONYMOUS COMPANY</v>
      </c>
    </row>
    <row r="29" spans="2:8" ht="15" customHeight="1">
      <c r="B29" s="329"/>
      <c r="C29" s="330"/>
      <c r="D29" s="252" t="s">
        <v>0</v>
      </c>
      <c r="E29" s="243"/>
      <c r="F29" s="243"/>
      <c r="G29" s="243"/>
      <c r="H29" s="438" t="s">
        <v>97</v>
      </c>
    </row>
    <row r="30" spans="2:8" ht="15" customHeight="1" thickBot="1">
      <c r="B30" s="329"/>
      <c r="C30" s="330"/>
      <c r="D30" s="448" t="s">
        <v>0</v>
      </c>
      <c r="E30" s="449"/>
      <c r="F30" s="449"/>
      <c r="G30" s="449"/>
      <c r="H30" s="462" t="str">
        <f>"For the year ended "&amp;(TEXT(COA!$B$4,"MMMM DD, YYYY"))</f>
        <v>For the year ended December 31, 2025</v>
      </c>
    </row>
    <row r="31" spans="2:8" ht="15" customHeight="1" thickTop="1">
      <c r="B31" s="259"/>
      <c r="D31" s="444"/>
      <c r="E31" s="444"/>
      <c r="F31" s="444"/>
      <c r="G31" s="445">
        <f>YEAR(COA!$B$4)</f>
        <v>2025</v>
      </c>
      <c r="H31" s="446">
        <f>R_FS3[[#This Row],[ 4]]-1</f>
        <v>2024</v>
      </c>
    </row>
    <row r="32" spans="2:8" ht="15" customHeight="1">
      <c r="B32" s="246">
        <f>IF(G31+H31=0,0,1)</f>
        <v>1</v>
      </c>
      <c r="D32" s="265"/>
      <c r="E32" s="265"/>
      <c r="F32" s="265"/>
      <c r="G32" s="358" t="s">
        <v>260</v>
      </c>
      <c r="H32" s="359" t="s">
        <v>260</v>
      </c>
    </row>
    <row r="33" spans="2:8" ht="15" hidden="1" customHeight="1">
      <c r="B33" s="246">
        <f t="shared" ref="B33" si="0">IF(G33+H33=0,0,1)</f>
        <v>0</v>
      </c>
      <c r="C33" s="240" t="s">
        <v>671</v>
      </c>
      <c r="D33" s="245"/>
      <c r="E33" s="236" t="s">
        <v>0</v>
      </c>
      <c r="F33" s="235"/>
      <c r="G33" s="242"/>
      <c r="H33" s="242"/>
    </row>
    <row r="34" spans="2:8" ht="15" customHeight="1">
      <c r="B34" s="236" t="s">
        <v>0</v>
      </c>
      <c r="C34" s="240"/>
      <c r="D34" s="245"/>
      <c r="E34" s="236"/>
      <c r="F34" s="235"/>
      <c r="G34" s="236" t="s">
        <v>0</v>
      </c>
      <c r="H34" s="236" t="s">
        <v>0</v>
      </c>
    </row>
    <row r="35" spans="2:8" ht="15" customHeight="1">
      <c r="B35" s="246">
        <f>IF(G35+H35=0,0,1)</f>
        <v>1</v>
      </c>
      <c r="C35" t="s">
        <v>560</v>
      </c>
      <c r="D35" s="468" t="str">
        <f>UPPER(INDEX(TB_FS!C:C,MATCH(C35,TB_FS!B:B,0)))</f>
        <v>SALES</v>
      </c>
      <c r="E35" s="203"/>
      <c r="F35" s="235"/>
      <c r="G35" s="258">
        <f>IFERROR(ABS(INDEX(TB_FS!D:D, MATCH(C35, TB_FS!B:B, 0))), "")</f>
        <v>6261053</v>
      </c>
      <c r="H35" s="258">
        <f>IFERROR(ABS(INDEX(TB_FS!E:E, MATCH(C35, TB_FS!B:B, 0))), "")</f>
        <v>6059602</v>
      </c>
    </row>
    <row r="36" spans="2:8" ht="15" customHeight="1">
      <c r="B36" s="236" t="s">
        <v>0</v>
      </c>
      <c r="C36" s="240" t="s">
        <v>0</v>
      </c>
      <c r="D36" s="245"/>
      <c r="E36" s="236"/>
      <c r="F36" s="235"/>
      <c r="G36" s="236"/>
      <c r="H36" s="236"/>
    </row>
    <row r="37" spans="2:8" ht="15" customHeight="1">
      <c r="B37" s="246" t="s">
        <v>0</v>
      </c>
      <c r="C37" s="3" t="s">
        <v>0</v>
      </c>
      <c r="D37" s="468" t="s">
        <v>1371</v>
      </c>
      <c r="E37" s="203"/>
      <c r="F37" s="235"/>
      <c r="G37" s="236" t="s">
        <v>0</v>
      </c>
      <c r="H37" s="236" t="s">
        <v>0</v>
      </c>
    </row>
    <row r="38" spans="2:8" ht="15" customHeight="1">
      <c r="B38" s="246">
        <f t="shared" ref="B38:B43" si="1">IF(G38+H38=0,0,1)</f>
        <v>1</v>
      </c>
      <c r="C38" t="s">
        <v>567</v>
      </c>
      <c r="D38" s="431" t="str">
        <f>(INDEX(TB_FS!C:C,MATCH(C38,TB_FS!B:B,0)))</f>
        <v>Purchases</v>
      </c>
      <c r="E38" s="203" t="s">
        <v>0</v>
      </c>
      <c r="F38" s="235"/>
      <c r="G38" s="236">
        <f>IFERROR(INDEX(TB_FS!D:D, MATCH(C38, TB_FS!B:B, 0)), 0)</f>
        <v>2045958</v>
      </c>
      <c r="H38" s="236">
        <f>IFERROR(INDEX(TB_FS!E:E, MATCH(C38, TB_FS!B:B, 0)), 0)</f>
        <v>1885747</v>
      </c>
    </row>
    <row r="39" spans="2:8" ht="15" customHeight="1">
      <c r="B39" s="246">
        <f t="shared" si="1"/>
        <v>1</v>
      </c>
      <c r="C39" s="112" t="s">
        <v>1358</v>
      </c>
      <c r="D39" s="431" t="str">
        <f>(INDEX(TB_FS!C:C,MATCH(C39,TB_FS!B:B,0)))</f>
        <v>Direct Labour</v>
      </c>
      <c r="E39" s="203" t="s">
        <v>0</v>
      </c>
      <c r="F39" s="235"/>
      <c r="G39" s="236">
        <f>IFERROR(INDEX(TB_FS!D:D, MATCH(C39, TB_FS!B:B, 0)), 0)</f>
        <v>1552774</v>
      </c>
      <c r="H39" s="236">
        <f>IFERROR(INDEX(TB_FS!E:E, MATCH(C39, TB_FS!B:B, 0)), 0)</f>
        <v>1355564</v>
      </c>
    </row>
    <row r="40" spans="2:8" ht="15" customHeight="1">
      <c r="B40" s="246">
        <f t="shared" si="1"/>
        <v>1</v>
      </c>
      <c r="C40" s="112" t="s">
        <v>1370</v>
      </c>
      <c r="D40" s="431" t="str">
        <f>(INDEX(TB_FS!C:C,MATCH(C40,TB_FS!B:B,0)))</f>
        <v>Direct Supplies</v>
      </c>
      <c r="E40" s="203" t="s">
        <v>0</v>
      </c>
      <c r="F40" s="235"/>
      <c r="G40" s="258">
        <f>IFERROR(INDEX(TB_FS!D:D, MATCH(C40, TB_FS!B:B, 0)), 0)</f>
        <v>39416</v>
      </c>
      <c r="H40" s="258">
        <f>IFERROR(INDEX(TB_FS!E:E, MATCH(C40, TB_FS!B:B, 0)), 0)</f>
        <v>28304</v>
      </c>
    </row>
    <row r="41" spans="2:8" ht="15" customHeight="1">
      <c r="B41" s="246">
        <f t="shared" si="1"/>
        <v>1</v>
      </c>
      <c r="C41"/>
      <c r="D41" s="468"/>
      <c r="E41" s="203" t="s">
        <v>0</v>
      </c>
      <c r="F41" s="235"/>
      <c r="G41" s="236">
        <f>SUBTOTAL(109,G38:G40)</f>
        <v>3638148</v>
      </c>
      <c r="H41" s="236">
        <f>SUBTOTAL(109,H38:H40)</f>
        <v>3269615</v>
      </c>
    </row>
    <row r="42" spans="2:8" ht="15" hidden="1" customHeight="1">
      <c r="B42" s="246">
        <f t="shared" si="1"/>
        <v>0</v>
      </c>
      <c r="C42" s="240"/>
      <c r="D42" s="245"/>
      <c r="E42" s="236" t="s">
        <v>0</v>
      </c>
      <c r="F42" s="235"/>
      <c r="G42" s="236"/>
      <c r="H42" s="236"/>
    </row>
    <row r="43" spans="2:8" ht="15" customHeight="1">
      <c r="B43" s="246">
        <f t="shared" si="1"/>
        <v>1</v>
      </c>
      <c r="C43" s="240"/>
      <c r="D43" s="466" t="s">
        <v>241</v>
      </c>
      <c r="E43" s="236" t="s">
        <v>0</v>
      </c>
      <c r="F43" s="235"/>
      <c r="G43" s="258">
        <f>G35-G41</f>
        <v>2622905</v>
      </c>
      <c r="H43" s="258">
        <f>H35-H41</f>
        <v>2789987</v>
      </c>
    </row>
    <row r="44" spans="2:8" ht="15" customHeight="1">
      <c r="B44" s="246" t="s">
        <v>0</v>
      </c>
      <c r="C44" s="240"/>
      <c r="D44" s="245"/>
      <c r="E44" s="236" t="s">
        <v>0</v>
      </c>
      <c r="F44" s="235"/>
      <c r="G44" s="236"/>
      <c r="H44" s="236"/>
    </row>
    <row r="45" spans="2:8" ht="15" customHeight="1">
      <c r="B45" s="236" t="s">
        <v>0</v>
      </c>
      <c r="C45" s="240"/>
      <c r="D45" s="466" t="s">
        <v>1476</v>
      </c>
      <c r="E45" s="236" t="s">
        <v>0</v>
      </c>
      <c r="F45" s="235"/>
      <c r="G45" s="755">
        <f>G43/G35</f>
        <v>0.41892394138813394</v>
      </c>
      <c r="H45" s="755">
        <f>H43/H35</f>
        <v>0.46042413346619132</v>
      </c>
    </row>
    <row r="46" spans="2:8" ht="15" customHeight="1">
      <c r="B46" s="236" t="s">
        <v>0</v>
      </c>
      <c r="C46" s="240"/>
      <c r="D46" s="466"/>
      <c r="E46" s="236" t="s">
        <v>0</v>
      </c>
      <c r="F46" s="235"/>
      <c r="G46" s="236" t="s">
        <v>0</v>
      </c>
      <c r="H46" s="236" t="s">
        <v>0</v>
      </c>
    </row>
    <row r="47" spans="2:8" ht="15" customHeight="1">
      <c r="B47" s="236" t="s">
        <v>0</v>
      </c>
      <c r="C47" s="240"/>
      <c r="D47" s="466" t="s">
        <v>595</v>
      </c>
      <c r="E47" s="236"/>
      <c r="F47" s="235"/>
      <c r="G47" s="236"/>
      <c r="H47" s="236"/>
    </row>
    <row r="48" spans="2:8" ht="15" customHeight="1">
      <c r="B48" s="246">
        <f t="shared" ref="B48:B55" si="2">IF(G48+H48=0,0,1)</f>
        <v>1</v>
      </c>
      <c r="C48" s="240"/>
      <c r="D48" s="245" t="s">
        <v>107</v>
      </c>
      <c r="E48" s="236"/>
      <c r="F48" s="235"/>
      <c r="G48" s="236">
        <f>G208</f>
        <v>166054</v>
      </c>
      <c r="H48" s="236">
        <f>H208</f>
        <v>193861</v>
      </c>
    </row>
    <row r="49" spans="2:8" ht="15" customHeight="1">
      <c r="B49" s="246">
        <f t="shared" si="2"/>
        <v>1</v>
      </c>
      <c r="C49" s="240"/>
      <c r="D49" s="245" t="s">
        <v>301</v>
      </c>
      <c r="E49" s="236"/>
      <c r="F49" s="235"/>
      <c r="G49" s="236">
        <f>G217</f>
        <v>82305</v>
      </c>
      <c r="H49" s="236">
        <f>H217</f>
        <v>58872</v>
      </c>
    </row>
    <row r="50" spans="2:8" ht="15" customHeight="1">
      <c r="B50" s="246">
        <f t="shared" si="2"/>
        <v>1</v>
      </c>
      <c r="C50" s="240"/>
      <c r="D50" s="245" t="s">
        <v>242</v>
      </c>
      <c r="E50" s="236"/>
      <c r="F50" s="235"/>
      <c r="G50" s="236">
        <f>G224</f>
        <v>452634</v>
      </c>
      <c r="H50" s="236">
        <f>H224</f>
        <v>841126</v>
      </c>
    </row>
    <row r="51" spans="2:8" ht="15" customHeight="1">
      <c r="B51" s="246">
        <f t="shared" si="2"/>
        <v>1</v>
      </c>
      <c r="C51" s="240"/>
      <c r="D51" s="245" t="s">
        <v>243</v>
      </c>
      <c r="E51" s="236"/>
      <c r="F51" s="235"/>
      <c r="G51" s="236">
        <f>G229</f>
        <v>68258</v>
      </c>
      <c r="H51" s="236">
        <f>H229</f>
        <v>79290</v>
      </c>
    </row>
    <row r="52" spans="2:8" ht="15" customHeight="1">
      <c r="B52" s="246">
        <f t="shared" si="2"/>
        <v>1</v>
      </c>
      <c r="C52" s="240"/>
      <c r="D52" s="245" t="s">
        <v>104</v>
      </c>
      <c r="E52" s="236"/>
      <c r="F52" s="235"/>
      <c r="G52" s="236">
        <f>G234</f>
        <v>40139</v>
      </c>
      <c r="H52" s="236">
        <f>H234</f>
        <v>45881</v>
      </c>
    </row>
    <row r="53" spans="2:8" ht="15" customHeight="1">
      <c r="B53" s="246">
        <f t="shared" si="2"/>
        <v>1</v>
      </c>
      <c r="C53" s="240"/>
      <c r="D53" s="245" t="s">
        <v>103</v>
      </c>
      <c r="E53" s="236"/>
      <c r="F53" s="235"/>
      <c r="G53" s="236">
        <f>G242</f>
        <v>650162</v>
      </c>
      <c r="H53" s="236">
        <f>H242</f>
        <v>534457</v>
      </c>
    </row>
    <row r="54" spans="2:8" ht="15" customHeight="1">
      <c r="B54" s="246">
        <f t="shared" si="2"/>
        <v>1</v>
      </c>
      <c r="C54" s="240"/>
      <c r="D54" s="245" t="s">
        <v>1362</v>
      </c>
      <c r="E54" s="236" t="s">
        <v>0</v>
      </c>
      <c r="F54" s="235"/>
      <c r="G54" s="236">
        <f>G247</f>
        <v>156616</v>
      </c>
      <c r="H54" s="236">
        <f>H247</f>
        <v>110714</v>
      </c>
    </row>
    <row r="55" spans="2:8" ht="15" customHeight="1">
      <c r="B55" s="246">
        <f t="shared" si="2"/>
        <v>1</v>
      </c>
      <c r="C55" s="240"/>
      <c r="D55" s="245" t="s">
        <v>147</v>
      </c>
      <c r="E55" s="236"/>
      <c r="F55" s="235"/>
      <c r="G55" s="258">
        <f>G253</f>
        <v>942595</v>
      </c>
      <c r="H55" s="258">
        <f>H253</f>
        <v>877643</v>
      </c>
    </row>
    <row r="56" spans="2:8" ht="15" customHeight="1">
      <c r="B56" s="236" t="s">
        <v>0</v>
      </c>
      <c r="C56" s="240"/>
      <c r="D56" s="245"/>
      <c r="E56" s="235"/>
      <c r="F56" s="235"/>
      <c r="G56" s="236">
        <f>SUM(G48:G55)</f>
        <v>2558763</v>
      </c>
      <c r="H56" s="236">
        <f>SUM(H48:H55)</f>
        <v>2741844</v>
      </c>
    </row>
    <row r="57" spans="2:8" ht="15" customHeight="1">
      <c r="B57" s="236" t="s">
        <v>0</v>
      </c>
      <c r="C57" s="240"/>
      <c r="D57" s="245"/>
      <c r="E57" s="236"/>
      <c r="F57" s="235"/>
      <c r="G57" s="236"/>
      <c r="H57" s="236"/>
    </row>
    <row r="58" spans="2:8" ht="15" customHeight="1">
      <c r="B58" s="236">
        <v>1</v>
      </c>
      <c r="C58" s="240"/>
      <c r="D58" s="466" t="s">
        <v>641</v>
      </c>
      <c r="E58" s="255" t="s">
        <v>0</v>
      </c>
      <c r="F58" s="235"/>
      <c r="G58" s="234">
        <f>G43-G56</f>
        <v>64142</v>
      </c>
      <c r="H58" s="234">
        <f>H43-H56</f>
        <v>48143</v>
      </c>
    </row>
    <row r="59" spans="2:8" ht="15" hidden="1" customHeight="1">
      <c r="B59" s="236">
        <v>0</v>
      </c>
      <c r="C59" s="240"/>
      <c r="D59" s="253"/>
      <c r="E59" s="255" t="s">
        <v>0</v>
      </c>
      <c r="F59" s="235"/>
      <c r="G59" s="236"/>
      <c r="H59" s="236"/>
    </row>
    <row r="60" spans="2:8" ht="15" customHeight="1">
      <c r="B60" s="246">
        <f t="shared" ref="B60" si="3">IF(G60+H60=0,0,1)</f>
        <v>1</v>
      </c>
      <c r="C60" s="240"/>
      <c r="D60" s="473" t="s">
        <v>640</v>
      </c>
      <c r="E60" s="236"/>
      <c r="F60" s="235"/>
      <c r="G60" s="236">
        <f>G273</f>
        <v>16632</v>
      </c>
      <c r="H60" s="236">
        <f>H273</f>
        <v>0</v>
      </c>
    </row>
    <row r="61" spans="2:8" ht="15" hidden="1" customHeight="1">
      <c r="B61" s="236">
        <v>0</v>
      </c>
      <c r="C61" s="506" t="s">
        <v>588</v>
      </c>
      <c r="D61" s="468" t="str">
        <f>UPPER(INDEX(TB_FS!C:C,MATCH(C61,TB_FS!B:B,0)))</f>
        <v>REALIZED GAINS/LOSSES ON DISPOSAL OF ASSETS</v>
      </c>
      <c r="E61" s="255"/>
      <c r="F61" s="235"/>
      <c r="G61" s="258">
        <f>IFERROR(ABS(INDEX(TB_FS!D:D, MATCH(C61, TB_FS!B:B, 0))), "")</f>
        <v>7326</v>
      </c>
      <c r="H61" s="258">
        <f>IFERROR(ABS(INDEX(TB_FS!E:E, MATCH(C61, TB_FS!B:B, 0))), "")</f>
        <v>0</v>
      </c>
    </row>
    <row r="62" spans="2:8" ht="15" customHeight="1">
      <c r="B62" s="236" t="s">
        <v>0</v>
      </c>
      <c r="C62" s="240" t="s">
        <v>0</v>
      </c>
      <c r="D62" s="473" t="s">
        <v>267</v>
      </c>
      <c r="E62" s="236"/>
      <c r="F62" s="235"/>
      <c r="G62" s="492">
        <f>G58+G60+G61</f>
        <v>88100</v>
      </c>
      <c r="H62" s="492">
        <f>H58+H60+H61</f>
        <v>48143</v>
      </c>
    </row>
    <row r="63" spans="2:8" ht="15" customHeight="1">
      <c r="B63" s="236" t="s">
        <v>0</v>
      </c>
      <c r="C63" s="240"/>
      <c r="D63" s="253"/>
      <c r="E63" s="236"/>
      <c r="F63" s="235"/>
      <c r="G63" s="236" t="s">
        <v>0</v>
      </c>
      <c r="H63" s="236" t="s">
        <v>0</v>
      </c>
    </row>
    <row r="64" spans="2:8" ht="15" customHeight="1">
      <c r="B64" s="246">
        <f t="shared" ref="B64" si="4">IF(G64+H64=0,0,1)</f>
        <v>1</v>
      </c>
      <c r="C64" t="s">
        <v>504</v>
      </c>
      <c r="D64" s="468" t="str">
        <f>UPPER(INDEX(TB_FS!C:C,MATCH(C64,TB_FS!B:B,0)))</f>
        <v xml:space="preserve">CURRENT INCOME TAX  </v>
      </c>
      <c r="E64" s="203"/>
      <c r="F64" s="235"/>
      <c r="G64" s="258">
        <f>IFERROR(INDEX(TB_FS!D:D, MATCH(C64, TB_FS!B:B, 0)), 0)</f>
        <v>13</v>
      </c>
      <c r="H64" s="258">
        <f>IFERROR(INDEX(TB_FS!E:E, MATCH(C64, TB_FS!B:B, 0)), 0)</f>
        <v>13961</v>
      </c>
    </row>
    <row r="65" spans="2:8" ht="15" customHeight="1">
      <c r="B65" s="236" t="s">
        <v>0</v>
      </c>
      <c r="C65" s="240" t="s">
        <v>0</v>
      </c>
      <c r="D65" s="245"/>
      <c r="E65" s="236"/>
      <c r="F65" s="235"/>
      <c r="G65" s="492"/>
      <c r="H65" s="492"/>
    </row>
    <row r="66" spans="2:8" ht="15" customHeight="1">
      <c r="B66" s="246">
        <f t="shared" ref="B66" si="5">IF(G66+H66=0,0,1)</f>
        <v>1</v>
      </c>
      <c r="C66" s="240"/>
      <c r="D66" s="466" t="s">
        <v>266</v>
      </c>
      <c r="E66" s="236" t="s">
        <v>0</v>
      </c>
      <c r="F66" s="246" t="s">
        <v>0</v>
      </c>
      <c r="G66" s="236">
        <f>G62-G64</f>
        <v>88087</v>
      </c>
      <c r="H66" s="236">
        <f>H62-H64</f>
        <v>34182</v>
      </c>
    </row>
    <row r="67" spans="2:8" ht="15" customHeight="1">
      <c r="B67" s="236" t="s">
        <v>0</v>
      </c>
      <c r="C67" s="240"/>
      <c r="D67" s="245"/>
      <c r="E67" s="236"/>
      <c r="F67" s="235"/>
      <c r="G67" s="236"/>
      <c r="H67" s="236"/>
    </row>
    <row r="68" spans="2:8" ht="15" customHeight="1">
      <c r="B68" s="246">
        <f t="shared" ref="B68:B72" si="6">IF(G68+H68=0,0,1)</f>
        <v>1</v>
      </c>
      <c r="C68" t="s">
        <v>347</v>
      </c>
      <c r="D68" s="468" t="str">
        <f>UPPER(INDEX(TB_FS!C:C,MATCH(C68,TB_FS!B:B,0)))</f>
        <v>RETAINED EARNINGS</v>
      </c>
      <c r="E68" s="203"/>
      <c r="F68" s="246" t="s">
        <v>0</v>
      </c>
      <c r="G68" s="236">
        <f>H72</f>
        <v>628829</v>
      </c>
      <c r="H68" s="236">
        <f>IFERROR(ABS(INDEX(TB_FS!E:E, MATCH($C$68, TB_FS!$B:$B, 0))), "")</f>
        <v>594647</v>
      </c>
    </row>
    <row r="69" spans="2:8" ht="15" hidden="1" customHeight="1">
      <c r="B69" s="246">
        <f t="shared" si="6"/>
        <v>0</v>
      </c>
      <c r="C69" s="240" t="s">
        <v>0</v>
      </c>
      <c r="D69" s="245"/>
      <c r="E69" s="234" t="s">
        <v>0</v>
      </c>
      <c r="F69" s="235"/>
      <c r="G69" s="236"/>
      <c r="H69" s="236"/>
    </row>
    <row r="70" spans="2:8" ht="15" customHeight="1">
      <c r="B70" s="246">
        <f t="shared" si="6"/>
        <v>1</v>
      </c>
      <c r="C70" s="506" t="s">
        <v>559</v>
      </c>
      <c r="D70" s="468" t="str">
        <f>UPPER(INDEX(M_COA[FS_LINE],MATCH(C70,M_COA[IFSL],0)))</f>
        <v>DIVIDENDS</v>
      </c>
      <c r="E70" s="203" t="s">
        <v>0</v>
      </c>
      <c r="F70" s="235"/>
      <c r="G70" s="258">
        <f>IFERROR(ABS(INDEX(TB_FS!D:D, MATCH(C70, TB_FS!B:B, 0))), 0)</f>
        <v>182989</v>
      </c>
      <c r="H70" s="258">
        <f>IFERROR(ABS(INDEX(TB_FS!E:E, MATCH(D70, TB_FS!C:C, 0))), 0)</f>
        <v>0</v>
      </c>
    </row>
    <row r="71" spans="2:8" ht="15" customHeight="1">
      <c r="B71" s="246" t="s">
        <v>0</v>
      </c>
      <c r="C71" s="240"/>
      <c r="D71" s="266"/>
      <c r="E71" s="203" t="s">
        <v>0</v>
      </c>
      <c r="F71" s="235"/>
      <c r="G71" s="236" t="s">
        <v>0</v>
      </c>
      <c r="H71" s="236" t="s">
        <v>0</v>
      </c>
    </row>
    <row r="72" spans="2:8" ht="15" customHeight="1" thickBot="1">
      <c r="B72" s="246">
        <f t="shared" si="6"/>
        <v>1</v>
      </c>
      <c r="C72" s="240"/>
      <c r="D72" s="474" t="s">
        <v>302</v>
      </c>
      <c r="E72" s="454"/>
      <c r="F72" s="463"/>
      <c r="G72" s="454">
        <f>G66+G68-G70</f>
        <v>533927</v>
      </c>
      <c r="H72" s="454">
        <f>H66+H68+H70</f>
        <v>628829</v>
      </c>
    </row>
    <row r="73" spans="2:8" ht="15" customHeight="1" thickTop="1">
      <c r="B73" s="246" t="s">
        <v>0</v>
      </c>
      <c r="C73" s="240"/>
      <c r="D73" s="245"/>
      <c r="E73" s="236"/>
      <c r="F73" s="235"/>
      <c r="G73" s="236" t="s">
        <v>0</v>
      </c>
      <c r="H73" s="236" t="s">
        <v>0</v>
      </c>
    </row>
    <row r="74" spans="2:8" ht="15" customHeight="1">
      <c r="B74" s="236" t="s">
        <v>0</v>
      </c>
      <c r="C74" s="240"/>
      <c r="D74" s="245"/>
      <c r="E74" s="236"/>
      <c r="F74" s="235"/>
      <c r="G74" s="236"/>
      <c r="H74" s="236"/>
    </row>
    <row r="75" spans="2:8" ht="15" customHeight="1">
      <c r="B75" s="236" t="s">
        <v>0</v>
      </c>
      <c r="C75" s="240"/>
      <c r="D75" s="252" t="s">
        <v>0</v>
      </c>
      <c r="E75" s="243"/>
      <c r="F75" s="243"/>
      <c r="G75" s="493"/>
      <c r="H75" s="494" t="str">
        <f>UPPER(COA!$B$2)</f>
        <v>ANONYMOUS COMPANY</v>
      </c>
    </row>
    <row r="76" spans="2:8" ht="15" customHeight="1">
      <c r="B76" s="236" t="s">
        <v>0</v>
      </c>
      <c r="C76" s="240"/>
      <c r="D76" s="333" t="s">
        <v>0</v>
      </c>
      <c r="E76" s="334"/>
      <c r="F76" s="238"/>
      <c r="G76" s="334"/>
      <c r="H76" s="495" t="s">
        <v>109</v>
      </c>
    </row>
    <row r="77" spans="2:8" ht="15" customHeight="1" thickBot="1">
      <c r="B77" s="236" t="s">
        <v>0</v>
      </c>
      <c r="C77" s="240"/>
      <c r="D77" s="451" t="s">
        <v>0</v>
      </c>
      <c r="E77" s="448"/>
      <c r="F77" s="451"/>
      <c r="G77" s="496"/>
      <c r="H77" s="497" t="str">
        <f>"As at "&amp;(TEXT(COA!$B$4,"MMMM DD, YYYY"))</f>
        <v>As at December 31, 2025</v>
      </c>
    </row>
    <row r="78" spans="2:8" ht="18" customHeight="1" thickTop="1">
      <c r="B78" s="236" t="s">
        <v>0</v>
      </c>
      <c r="C78" s="240"/>
      <c r="D78" s="245"/>
      <c r="E78" s="236"/>
      <c r="F78" s="245"/>
      <c r="G78" s="445">
        <f>YEAR(COA!$B$4)</f>
        <v>2025</v>
      </c>
      <c r="H78" s="446">
        <f>R_FS3[[#This Row],[ 4]]-1</f>
        <v>2024</v>
      </c>
    </row>
    <row r="79" spans="2:8" ht="15" customHeight="1">
      <c r="B79" s="236" t="s">
        <v>0</v>
      </c>
      <c r="C79" s="240"/>
      <c r="D79" s="251"/>
      <c r="E79" s="258"/>
      <c r="F79" s="251"/>
      <c r="G79" s="358" t="s">
        <v>260</v>
      </c>
      <c r="H79" s="359" t="s">
        <v>260</v>
      </c>
    </row>
    <row r="80" spans="2:8" ht="15" customHeight="1">
      <c r="B80" s="236" t="s">
        <v>0</v>
      </c>
      <c r="C80" s="236" t="s">
        <v>0</v>
      </c>
      <c r="D80" s="236" t="s">
        <v>0</v>
      </c>
      <c r="E80" s="236" t="s">
        <v>0</v>
      </c>
      <c r="F80" s="236" t="s">
        <v>0</v>
      </c>
      <c r="G80" s="236" t="s">
        <v>0</v>
      </c>
      <c r="H80" s="236" t="s">
        <v>0</v>
      </c>
    </row>
    <row r="81" spans="2:8" ht="15" customHeight="1">
      <c r="B81" s="236" t="s">
        <v>0</v>
      </c>
      <c r="C81" s="240" t="s">
        <v>0</v>
      </c>
      <c r="D81" s="466" t="s">
        <v>265</v>
      </c>
      <c r="E81" s="249"/>
      <c r="F81" s="249"/>
      <c r="G81" s="236"/>
      <c r="H81" s="236" t="s">
        <v>0</v>
      </c>
    </row>
    <row r="82" spans="2:8" ht="15" customHeight="1">
      <c r="B82" s="236" t="s">
        <v>0</v>
      </c>
      <c r="C82" s="240"/>
      <c r="D82" s="467" t="s">
        <v>540</v>
      </c>
      <c r="E82" s="249"/>
      <c r="F82" s="249"/>
      <c r="G82" s="236" t="s">
        <v>0</v>
      </c>
      <c r="H82" s="236" t="s">
        <v>0</v>
      </c>
    </row>
    <row r="83" spans="2:8" ht="15" customHeight="1">
      <c r="B83" s="246">
        <f>IFERROR(IF(G83+H83=0,0,1),1)</f>
        <v>1</v>
      </c>
      <c r="C83" s="112" t="s">
        <v>547</v>
      </c>
      <c r="D83" s="431" t="str">
        <f>(INDEX(TB_FS!C:C,MATCH(C83,TB_FS!B:B,0)))</f>
        <v>Cash</v>
      </c>
      <c r="E83" s="203"/>
      <c r="F83" s="235"/>
      <c r="G83" s="511">
        <f>ABS(IF(G284&gt;0.01,G284,0))</f>
        <v>77184</v>
      </c>
      <c r="H83" s="511">
        <f>ABS(IF(H284&gt;0.01,H284,0))</f>
        <v>509493</v>
      </c>
    </row>
    <row r="84" spans="2:8" ht="15" customHeight="1">
      <c r="B84" s="246">
        <f t="shared" ref="B84:B85" si="7">IF(G84+H84=0,0,1)</f>
        <v>1</v>
      </c>
      <c r="C84" t="s">
        <v>548</v>
      </c>
      <c r="D84" s="431" t="str">
        <f>(INDEX(TB_FS!C:C,MATCH(C84,TB_FS!B:B,0)))</f>
        <v>Marketable securities</v>
      </c>
      <c r="E84" s="203"/>
      <c r="F84" s="235"/>
      <c r="G84" s="236">
        <f>IFERROR(INDEX(TB_FS!D:D, MATCH(C84, TB_FS!B:B, 0)), 0)</f>
        <v>136668</v>
      </c>
      <c r="H84" s="236">
        <f>IFERROR(INDEX(TB_FS!E:E, MATCH(C84, TB_FS!$B:$B, 0)), 0)</f>
        <v>119850</v>
      </c>
    </row>
    <row r="85" spans="2:8" ht="15" customHeight="1">
      <c r="B85" s="246">
        <f t="shared" si="7"/>
        <v>1</v>
      </c>
      <c r="C85" t="s">
        <v>549</v>
      </c>
      <c r="D85" s="431" t="str">
        <f>(INDEX(TB_FS!C:C,MATCH(C85,TB_FS!B:B,0)))</f>
        <v>Accounts receivable</v>
      </c>
      <c r="E85" s="203"/>
      <c r="F85" s="235"/>
      <c r="G85" s="236">
        <f>IFERROR(INDEX(TB_FS!D:D, MATCH(C85, TB_FS!B:B, 0)), 0)</f>
        <v>53399</v>
      </c>
      <c r="H85" s="236">
        <f>IFERROR(INDEX(TB_FS!E:E, MATCH(C85, TB_FS!$B:$B, 0)), 0)</f>
        <v>14544</v>
      </c>
    </row>
    <row r="86" spans="2:8" ht="15" customHeight="1">
      <c r="B86" s="246">
        <f t="shared" ref="B86:B89" si="8">IF(G86+H86=0,0,1)</f>
        <v>1</v>
      </c>
      <c r="C86" s="112" t="s">
        <v>382</v>
      </c>
      <c r="D86" s="431" t="str">
        <f>(INDEX(TB_FS!C:C,MATCH(C86,TB_FS!B:B,0)))</f>
        <v>Inventory</v>
      </c>
      <c r="E86" s="203"/>
      <c r="F86" s="235"/>
      <c r="G86" s="236">
        <f>IFERROR(INDEX(TB_FS!D:D, MATCH(C86, TB_FS!B:B, 0)), 0)</f>
        <v>38350</v>
      </c>
      <c r="H86" s="236">
        <f>IFERROR(INDEX(TB_FS!E:E, MATCH(C86, TB_FS!$B:$B, 0)), 0)</f>
        <v>49573</v>
      </c>
    </row>
    <row r="87" spans="2:8" ht="15" hidden="1" customHeight="1">
      <c r="B87" s="246">
        <f t="shared" si="8"/>
        <v>0</v>
      </c>
      <c r="C87" s="510" t="s">
        <v>0</v>
      </c>
      <c r="D87" s="431" t="s">
        <v>649</v>
      </c>
      <c r="E87" s="203" t="s">
        <v>0</v>
      </c>
      <c r="F87" s="235"/>
      <c r="G87" s="511">
        <f>ABS(IF(G292&gt;0.01,G292,0))</f>
        <v>0</v>
      </c>
      <c r="H87" s="511">
        <f>ABS(IF(H292&gt;0.01,H292,0))</f>
        <v>0</v>
      </c>
    </row>
    <row r="88" spans="2:8" ht="15" hidden="1" customHeight="1">
      <c r="B88" s="246">
        <f t="shared" si="8"/>
        <v>0</v>
      </c>
      <c r="C88" s="510" t="s">
        <v>0</v>
      </c>
      <c r="D88" s="431" t="s">
        <v>650</v>
      </c>
      <c r="E88" s="203" t="s">
        <v>0</v>
      </c>
      <c r="F88" s="235"/>
      <c r="G88" s="511">
        <f>ABS(IF(G290&gt;0.01,G290,0))</f>
        <v>0</v>
      </c>
      <c r="H88" s="511">
        <f>ABS(IF(H290&gt;0.01,H290,0))</f>
        <v>0</v>
      </c>
    </row>
    <row r="89" spans="2:8" ht="15" hidden="1" customHeight="1">
      <c r="B89" s="246">
        <f t="shared" si="8"/>
        <v>0</v>
      </c>
      <c r="C89" s="3" t="s">
        <v>0</v>
      </c>
      <c r="D89" s="431" t="s">
        <v>643</v>
      </c>
      <c r="E89" s="203"/>
      <c r="F89" s="235"/>
      <c r="G89" s="236">
        <f>G163</f>
        <v>0</v>
      </c>
      <c r="H89" s="236">
        <f>H163</f>
        <v>0</v>
      </c>
    </row>
    <row r="90" spans="2:8" ht="15" customHeight="1">
      <c r="B90" s="246">
        <f t="shared" ref="B90" si="9">IF(G90+H90=0,0,1)</f>
        <v>1</v>
      </c>
      <c r="C90" s="112" t="s">
        <v>1143</v>
      </c>
      <c r="D90" s="431" t="str">
        <f>(INDEX(TB_FS!C:C,MATCH(C90,TB_FS!B:B,0)))</f>
        <v>Prepaid expense</v>
      </c>
      <c r="E90" s="203"/>
      <c r="F90" s="235"/>
      <c r="G90" s="236">
        <f>IFERROR(INDEX(TB_FS!D:D, MATCH(C90, TB_FS!B:B, 0)), 0)</f>
        <v>9932</v>
      </c>
      <c r="H90" s="236">
        <f>IFERROR(INDEX(TB_FS!E:E, MATCH(C90, TB_FS!$B:$B, 0)), 0)</f>
        <v>9433</v>
      </c>
    </row>
    <row r="91" spans="2:8" ht="15" customHeight="1">
      <c r="B91" s="246" t="s">
        <v>0</v>
      </c>
      <c r="C91" t="s">
        <v>0</v>
      </c>
      <c r="D91" s="245"/>
      <c r="E91" s="234"/>
      <c r="F91" s="247"/>
      <c r="G91" s="498">
        <f>SUM(G83:G90)</f>
        <v>315533</v>
      </c>
      <c r="H91" s="498">
        <f>SUM(H83:H90)</f>
        <v>702893</v>
      </c>
    </row>
    <row r="92" spans="2:8" ht="15" customHeight="1">
      <c r="B92" s="245"/>
      <c r="C92"/>
      <c r="D92" s="245"/>
      <c r="E92" s="245"/>
      <c r="F92" s="245"/>
      <c r="G92" s="236"/>
      <c r="H92" s="236"/>
    </row>
    <row r="93" spans="2:8" ht="15" customHeight="1">
      <c r="B93" s="246">
        <f t="shared" ref="B93:B96" si="10">IF(G93+H93=0,0,1)</f>
        <v>1</v>
      </c>
      <c r="C93"/>
      <c r="D93" s="468" t="s">
        <v>264</v>
      </c>
      <c r="E93" s="203" t="s">
        <v>0</v>
      </c>
      <c r="F93" s="248"/>
      <c r="G93" s="234">
        <f>G144</f>
        <v>685321</v>
      </c>
      <c r="H93" s="234">
        <f>H144</f>
        <v>795540</v>
      </c>
    </row>
    <row r="94" spans="2:8" ht="15" hidden="1" customHeight="1">
      <c r="B94" s="246">
        <f t="shared" si="10"/>
        <v>0</v>
      </c>
      <c r="C94"/>
      <c r="D94" s="245"/>
      <c r="E94" s="236" t="s">
        <v>0</v>
      </c>
      <c r="F94" s="245"/>
      <c r="G94" s="236"/>
      <c r="H94" s="236"/>
    </row>
    <row r="95" spans="2:8" ht="15" customHeight="1">
      <c r="B95" s="246">
        <f t="shared" si="10"/>
        <v>1</v>
      </c>
      <c r="C95"/>
      <c r="D95" s="468" t="s">
        <v>644</v>
      </c>
      <c r="E95" s="203" t="s">
        <v>0</v>
      </c>
      <c r="F95" s="248"/>
      <c r="G95" s="234">
        <f>G173</f>
        <v>318967</v>
      </c>
      <c r="H95" s="234">
        <f>H173</f>
        <v>95144</v>
      </c>
    </row>
    <row r="96" spans="2:8" ht="15" customHeight="1">
      <c r="B96" s="246">
        <f t="shared" si="10"/>
        <v>1</v>
      </c>
      <c r="C96" s="112" t="s">
        <v>1151</v>
      </c>
      <c r="D96" s="468" t="str">
        <f>UPPER(INDEX(TB_FS!C:C,MATCH(C96,TB_FS!B:B,0)))</f>
        <v>CASH SURRENDER OF LIFE INSURANCE</v>
      </c>
      <c r="E96" s="203" t="s">
        <v>0</v>
      </c>
      <c r="F96" s="248"/>
      <c r="G96" s="258">
        <f>IFERROR(INDEX(TB_FS!D:D, MATCH(C96, TB_FS!B:B, 0)), 0)</f>
        <v>87341</v>
      </c>
      <c r="H96" s="258">
        <f>IFERROR(INDEX(TB_FS!E:E, MATCH(C96, TB_FS!$B:$B, 0)), 0)</f>
        <v>89801</v>
      </c>
    </row>
    <row r="97" spans="2:8" ht="15" customHeight="1">
      <c r="B97" s="236" t="s">
        <v>0</v>
      </c>
      <c r="C97"/>
      <c r="D97" s="245"/>
      <c r="E97" s="236"/>
      <c r="F97" s="245"/>
      <c r="G97" s="236"/>
      <c r="H97" s="236"/>
    </row>
    <row r="98" spans="2:8" ht="15" customHeight="1" thickBot="1">
      <c r="B98" s="236" t="s">
        <v>0</v>
      </c>
      <c r="C98"/>
      <c r="D98" s="453"/>
      <c r="E98" s="454"/>
      <c r="F98" s="455"/>
      <c r="G98" s="499">
        <f>G93+G91+G95+G96</f>
        <v>1407162</v>
      </c>
      <c r="H98" s="499">
        <f>H93+H91+H95+H96</f>
        <v>1683378</v>
      </c>
    </row>
    <row r="99" spans="2:8" ht="15" customHeight="1" thickTop="1">
      <c r="B99" s="236" t="s">
        <v>0</v>
      </c>
      <c r="C99" s="240"/>
      <c r="D99" s="245"/>
      <c r="E99" s="236"/>
      <c r="F99" s="245"/>
      <c r="G99" s="236"/>
      <c r="H99" s="236"/>
    </row>
    <row r="100" spans="2:8" ht="15" customHeight="1">
      <c r="B100" s="236" t="s">
        <v>0</v>
      </c>
      <c r="C100" s="240"/>
      <c r="D100" s="466" t="s">
        <v>539</v>
      </c>
      <c r="E100" s="236"/>
      <c r="F100" s="245"/>
      <c r="G100" s="236"/>
      <c r="H100" s="236"/>
    </row>
    <row r="101" spans="2:8" ht="15" customHeight="1">
      <c r="B101" s="236" t="s">
        <v>0</v>
      </c>
      <c r="C101" s="240" t="s">
        <v>0</v>
      </c>
      <c r="D101" s="467" t="s">
        <v>540</v>
      </c>
      <c r="E101" s="236"/>
      <c r="F101" s="245"/>
      <c r="G101" s="236"/>
      <c r="H101" s="236"/>
    </row>
    <row r="102" spans="2:8" ht="15" customHeight="1">
      <c r="B102" s="246"/>
      <c r="C102" s="112"/>
      <c r="D102" s="431"/>
      <c r="E102" s="203"/>
      <c r="F102" s="235"/>
      <c r="G102" s="236"/>
      <c r="H102" s="236"/>
    </row>
    <row r="103" spans="2:8" ht="15" customHeight="1">
      <c r="B103" s="246" t="s">
        <v>0</v>
      </c>
      <c r="C103" s="112"/>
      <c r="D103" s="431" t="s">
        <v>545</v>
      </c>
      <c r="E103" s="203" t="s">
        <v>0</v>
      </c>
      <c r="F103" s="235"/>
      <c r="G103" s="511">
        <f>ABS(IF(G284&lt;0.01,G284,0))</f>
        <v>0</v>
      </c>
      <c r="H103" s="511">
        <f>ABS(IF(H284&lt;0.01,H284,0))</f>
        <v>0</v>
      </c>
    </row>
    <row r="104" spans="2:8" ht="15" customHeight="1">
      <c r="B104" s="246">
        <f t="shared" ref="B104:B106" si="11">IF(G104+H104=0,0,1)</f>
        <v>1</v>
      </c>
      <c r="C104" t="s">
        <v>553</v>
      </c>
      <c r="D104" s="431" t="str">
        <f>(INDEX(TB_FS!C:C,MATCH(C104,TB_FS!B:B,0)))</f>
        <v>Accounts payable</v>
      </c>
      <c r="E104" s="236"/>
      <c r="F104" s="235"/>
      <c r="G104" s="236">
        <f>IFERROR(ABS(INDEX(TB_FS!D:D, MATCH(C104, TB_FS!B:B, 0))), "")+G306</f>
        <v>248445</v>
      </c>
      <c r="H104" s="236">
        <f>IFERROR(ABS(INDEX(TB_FS!E:E, MATCH($C$104, TB_FS!$B:$B, 0))), "")+H306</f>
        <v>142974</v>
      </c>
    </row>
    <row r="105" spans="2:8" ht="15" customHeight="1">
      <c r="B105" s="246">
        <f t="shared" si="11"/>
        <v>1</v>
      </c>
      <c r="C105" t="s">
        <v>554</v>
      </c>
      <c r="D105" s="431" t="str">
        <f>(INDEX(TB_FS!C:C,MATCH(C105,TB_FS!B:B,0)))</f>
        <v>Government Remittances</v>
      </c>
      <c r="E105" s="203"/>
      <c r="F105" s="235"/>
      <c r="G105" s="236">
        <f>IFERROR(ABS(INDEX(TB_FS!D:D, MATCH(C105, TB_FS!B:B, 0))), "")</f>
        <v>2667</v>
      </c>
      <c r="H105" s="236">
        <f>IFERROR(ABS(INDEX(TB_FS!E:E, MATCH($C$105, TB_FS!$B:$B, 0))), "")</f>
        <v>0</v>
      </c>
    </row>
    <row r="106" spans="2:8" ht="15" customHeight="1">
      <c r="B106" s="246">
        <f t="shared" si="11"/>
        <v>1</v>
      </c>
      <c r="C106" t="s">
        <v>555</v>
      </c>
      <c r="D106" s="431" t="str">
        <f>(INDEX(TB_FS!C:C,MATCH(C106,TB_FS!B:B,0)))</f>
        <v>Corporate Income Tax</v>
      </c>
      <c r="E106" s="203"/>
      <c r="F106" s="235"/>
      <c r="G106" s="511">
        <f>ABS(IF(G292&lt;0.01,G292,0))</f>
        <v>4180</v>
      </c>
      <c r="H106" s="511">
        <f>ABS(IF(H292&lt;0.01,H292,0))</f>
        <v>23061</v>
      </c>
    </row>
    <row r="107" spans="2:8" ht="15" customHeight="1">
      <c r="B107" s="246" t="s">
        <v>0</v>
      </c>
      <c r="C107" s="112" t="s">
        <v>635</v>
      </c>
      <c r="D107" s="431" t="str">
        <f>(INDEX(TB_FS!C:C,MATCH(C107,TB_FS!B:B,0)))</f>
        <v>HST payable</v>
      </c>
      <c r="E107" s="203"/>
      <c r="F107" s="235"/>
      <c r="G107" s="511">
        <f>ABS(IF(G290&lt;0.01,G290,0))</f>
        <v>58772</v>
      </c>
      <c r="H107" s="511">
        <f>ABS(IF(H290&lt;0.01,H290,0))</f>
        <v>32216</v>
      </c>
    </row>
    <row r="108" spans="2:8" ht="15" customHeight="1">
      <c r="B108" s="246" t="s">
        <v>0</v>
      </c>
      <c r="C108" s="112"/>
      <c r="D108" s="431" t="s">
        <v>646</v>
      </c>
      <c r="E108" s="203" t="s">
        <v>0</v>
      </c>
      <c r="F108" s="235"/>
      <c r="G108" s="511">
        <f>ABS(IF(G165&lt;0.01,G165,0))</f>
        <v>164955</v>
      </c>
      <c r="H108" s="511">
        <f>ABS(IF(H165&lt;0.01,H165,0))</f>
        <v>289463</v>
      </c>
    </row>
    <row r="109" spans="2:8" ht="15" customHeight="1">
      <c r="B109" s="246" t="s">
        <v>0</v>
      </c>
      <c r="C109" t="s">
        <v>557</v>
      </c>
      <c r="D109" s="431" t="str">
        <f>(INDEX(TB_FS!C:C,MATCH(C109,TB_FS!B:B,0)))</f>
        <v>Current portion of term debt</v>
      </c>
      <c r="E109" s="203"/>
      <c r="F109" s="235"/>
      <c r="G109" s="236">
        <f>IFERROR(ABS(INDEX(TB_FS!D:D, MATCH($C$109, TB_FS!$B:$B, 0))), "")</f>
        <v>110400</v>
      </c>
      <c r="H109" s="236">
        <f>IFERROR(ABS(INDEX(TB_FS!E:E, MATCH($C$109, TB_FS!$B:$B, 0))), "")</f>
        <v>0</v>
      </c>
    </row>
    <row r="110" spans="2:8" ht="15" customHeight="1">
      <c r="B110" s="246" t="s">
        <v>0</v>
      </c>
      <c r="C110" t="s">
        <v>0</v>
      </c>
      <c r="D110" s="245"/>
      <c r="E110" s="234"/>
      <c r="F110" s="247"/>
      <c r="G110" s="498">
        <f>SUM(G102:G109)</f>
        <v>589419</v>
      </c>
      <c r="H110" s="498">
        <f>SUM(H102:H109)</f>
        <v>487714</v>
      </c>
    </row>
    <row r="111" spans="2:8" ht="17.45" customHeight="1">
      <c r="B111" s="246" t="s">
        <v>0</v>
      </c>
      <c r="C111"/>
      <c r="D111" s="245"/>
      <c r="E111" s="234" t="s">
        <v>0</v>
      </c>
      <c r="F111" s="247"/>
      <c r="G111" s="234" t="s">
        <v>0</v>
      </c>
      <c r="H111" s="234" t="s">
        <v>0</v>
      </c>
    </row>
    <row r="112" spans="2:8" ht="17.45" customHeight="1">
      <c r="B112" s="246" t="s">
        <v>0</v>
      </c>
      <c r="C112" s="240"/>
      <c r="D112" s="466" t="s">
        <v>294</v>
      </c>
      <c r="E112" s="234" t="s">
        <v>0</v>
      </c>
      <c r="F112" s="247"/>
      <c r="G112" s="234">
        <f>G196</f>
        <v>283711</v>
      </c>
      <c r="H112" s="234">
        <f>H196</f>
        <v>503563</v>
      </c>
    </row>
    <row r="113" spans="2:8" ht="15" customHeight="1">
      <c r="B113" s="246" t="s">
        <v>0</v>
      </c>
      <c r="C113" s="240"/>
      <c r="D113" s="466"/>
      <c r="E113" s="234" t="s">
        <v>0</v>
      </c>
      <c r="F113" s="247"/>
      <c r="G113" s="234" t="s">
        <v>0</v>
      </c>
      <c r="H113" s="234" t="s">
        <v>0</v>
      </c>
    </row>
    <row r="114" spans="2:8" ht="15" customHeight="1">
      <c r="B114" s="246" t="s">
        <v>0</v>
      </c>
      <c r="C114" s="240"/>
      <c r="D114" s="466" t="s">
        <v>642</v>
      </c>
      <c r="E114" s="234" t="s">
        <v>0</v>
      </c>
      <c r="F114" s="247"/>
      <c r="G114" s="511">
        <f>ABS(IF(G180&gt;0.01,G180,0))</f>
        <v>0</v>
      </c>
      <c r="H114" s="511">
        <f t="shared" ref="H114" si="12">ABS(IF(H180&gt;0.01,H180,0))</f>
        <v>63166</v>
      </c>
    </row>
    <row r="115" spans="2:8" ht="15" customHeight="1">
      <c r="B115" s="246"/>
      <c r="C115" s="53"/>
      <c r="D115" s="431"/>
      <c r="E115" s="203"/>
      <c r="F115" s="235"/>
      <c r="G115" s="236"/>
      <c r="H115" s="236"/>
    </row>
    <row r="116" spans="2:8" ht="15" customHeight="1">
      <c r="B116" s="469" t="s">
        <v>0</v>
      </c>
      <c r="C116" s="284"/>
      <c r="D116" s="470"/>
      <c r="E116" s="246" t="s">
        <v>0</v>
      </c>
      <c r="F116" s="471"/>
      <c r="G116" s="512" t="s">
        <v>0</v>
      </c>
      <c r="H116" s="512" t="s">
        <v>0</v>
      </c>
    </row>
    <row r="117" spans="2:8" ht="15" customHeight="1">
      <c r="B117" s="246" t="s">
        <v>0</v>
      </c>
      <c r="C117" s="240"/>
      <c r="D117" s="472" t="s">
        <v>541</v>
      </c>
      <c r="E117" s="203" t="s">
        <v>0</v>
      </c>
      <c r="F117" s="248"/>
      <c r="G117" s="239">
        <f>G114+G112+G110</f>
        <v>873130</v>
      </c>
      <c r="H117" s="239">
        <f>H114+H112+H110</f>
        <v>1054443</v>
      </c>
    </row>
    <row r="118" spans="2:8" ht="17.45" customHeight="1">
      <c r="B118" s="246" t="s">
        <v>0</v>
      </c>
      <c r="C118" s="240"/>
      <c r="D118" s="266"/>
      <c r="E118" s="203" t="s">
        <v>0</v>
      </c>
      <c r="F118" s="248"/>
      <c r="G118" s="234" t="s">
        <v>0</v>
      </c>
      <c r="H118" s="234" t="s">
        <v>0</v>
      </c>
    </row>
    <row r="119" spans="2:8" ht="15" customHeight="1">
      <c r="B119" s="236" t="s">
        <v>0</v>
      </c>
      <c r="C119" s="240" t="s">
        <v>0</v>
      </c>
      <c r="D119" s="466" t="s">
        <v>263</v>
      </c>
      <c r="E119" s="249"/>
      <c r="F119" s="249"/>
      <c r="G119" s="236"/>
      <c r="H119" s="236"/>
    </row>
    <row r="120" spans="2:8" ht="17.45" customHeight="1">
      <c r="B120" s="246">
        <f t="shared" ref="B120:B124" si="13">IF(G120+H120=0,0,1)</f>
        <v>1</v>
      </c>
      <c r="C120" s="112" t="s">
        <v>435</v>
      </c>
      <c r="D120" s="431" t="str">
        <f>(INDEX(TB_FS!C:C,MATCH(C120,TB_FS!B:B,0)))</f>
        <v>Common shares</v>
      </c>
      <c r="E120" s="203"/>
      <c r="F120" s="235"/>
      <c r="G120" s="236">
        <f>IFERROR(ABS(INDEX(TB_FS!D:D, MATCH($C$120, TB_FS!$B:$B, 0))), "")</f>
        <v>105</v>
      </c>
      <c r="H120" s="236">
        <f>IFERROR(ABS(INDEX(TB_FS!E:E, MATCH($C$120, TB_FS!$B:$B, 0))), "")</f>
        <v>106</v>
      </c>
    </row>
    <row r="121" spans="2:8" ht="15" hidden="1" customHeight="1">
      <c r="B121" s="246">
        <f t="shared" si="13"/>
        <v>0</v>
      </c>
      <c r="C121" s="584">
        <v>3520</v>
      </c>
      <c r="D121" s="431" t="str">
        <f>INDEX(M_COA[FS_LINE],MATCH(C121,M_COA[IFSL],0))</f>
        <v>Preferred shares</v>
      </c>
      <c r="E121" s="203"/>
      <c r="F121" s="248"/>
      <c r="G121" s="236">
        <f>IFERROR(ABS(INDEX(TB_FS!D:D, MATCH($C$121, TB_FS!$B:$B, 0))), 0)</f>
        <v>0</v>
      </c>
      <c r="H121" s="236">
        <f>IFERROR(ABS(INDEX(TB_FS!E:E, MATCH(D121, TB_FS!C:C, 0))), "")</f>
        <v>0</v>
      </c>
    </row>
    <row r="122" spans="2:8" ht="15" customHeight="1">
      <c r="B122" s="246">
        <f t="shared" si="13"/>
        <v>1</v>
      </c>
      <c r="C122" s="585">
        <v>3660</v>
      </c>
      <c r="D122" s="431" t="str">
        <f>INDEX(M_COA[FS_LINE],MATCH(C122,M_COA[IFSL],0))</f>
        <v>Retained earnings</v>
      </c>
      <c r="E122" s="203"/>
      <c r="F122" s="247"/>
      <c r="G122" s="250">
        <f>G72</f>
        <v>533927</v>
      </c>
      <c r="H122" s="236">
        <f>H72</f>
        <v>628829</v>
      </c>
    </row>
    <row r="123" spans="2:8" ht="15" customHeight="1">
      <c r="B123" s="246" t="s">
        <v>0</v>
      </c>
      <c r="C123" s="240" t="s">
        <v>1</v>
      </c>
      <c r="D123" s="245"/>
      <c r="E123" s="234"/>
      <c r="F123" s="247"/>
      <c r="G123" s="239">
        <f>SUM(G120:G122)</f>
        <v>534032</v>
      </c>
      <c r="H123" s="239">
        <f>SUM(H120:H122)</f>
        <v>628935</v>
      </c>
    </row>
    <row r="124" spans="2:8" ht="17.45" hidden="1" customHeight="1">
      <c r="B124" s="246">
        <f t="shared" si="13"/>
        <v>0</v>
      </c>
      <c r="C124" s="240"/>
      <c r="D124" s="245"/>
      <c r="E124" s="236" t="s">
        <v>0</v>
      </c>
      <c r="F124" s="245"/>
      <c r="G124" s="236"/>
      <c r="H124" s="236"/>
    </row>
    <row r="125" spans="2:8" ht="17.45" customHeight="1">
      <c r="B125" s="246" t="s">
        <v>0</v>
      </c>
      <c r="C125" s="240"/>
      <c r="D125" s="245"/>
      <c r="E125" s="236" t="s">
        <v>0</v>
      </c>
      <c r="F125" s="245"/>
      <c r="G125" s="236" t="s">
        <v>0</v>
      </c>
      <c r="H125" s="236" t="s">
        <v>0</v>
      </c>
    </row>
    <row r="126" spans="2:8" ht="15" customHeight="1" thickBot="1">
      <c r="B126" s="246" t="s">
        <v>0</v>
      </c>
      <c r="C126" s="240" t="s">
        <v>0</v>
      </c>
      <c r="D126" s="453"/>
      <c r="E126" s="454"/>
      <c r="F126" s="455"/>
      <c r="G126" s="499">
        <f>G123+G117</f>
        <v>1407162</v>
      </c>
      <c r="H126" s="499">
        <f>H123+H117</f>
        <v>1683378</v>
      </c>
    </row>
    <row r="127" spans="2:8" ht="15" customHeight="1" thickTop="1">
      <c r="B127" s="246"/>
      <c r="C127" s="240"/>
      <c r="D127" s="245"/>
      <c r="E127" s="236"/>
      <c r="F127" s="244"/>
      <c r="G127" s="234"/>
      <c r="H127" s="234"/>
    </row>
    <row r="128" spans="2:8" ht="15" customHeight="1">
      <c r="B128" s="246"/>
      <c r="C128" s="240"/>
      <c r="D128" s="245"/>
      <c r="E128" s="244"/>
      <c r="F128" s="244"/>
      <c r="G128" s="234"/>
      <c r="H128" s="234"/>
    </row>
    <row r="129" spans="2:8" ht="17.45" customHeight="1">
      <c r="B129" s="246" t="s">
        <v>0</v>
      </c>
      <c r="C129" s="240"/>
      <c r="D129" s="245"/>
      <c r="E129" s="244"/>
      <c r="F129" s="244"/>
      <c r="G129" s="234"/>
      <c r="H129" s="234"/>
    </row>
    <row r="130" spans="2:8" ht="15" customHeight="1">
      <c r="B130" s="246" t="s">
        <v>0</v>
      </c>
      <c r="C130" s="240"/>
      <c r="D130" s="252" t="s">
        <v>0</v>
      </c>
      <c r="E130" s="296"/>
      <c r="F130" s="296"/>
      <c r="G130" s="500"/>
      <c r="H130" s="494" t="str">
        <f>UPPER(COA!$B$2)</f>
        <v>ANONYMOUS COMPANY</v>
      </c>
    </row>
    <row r="131" spans="2:8" ht="15" customHeight="1">
      <c r="B131" s="246" t="s">
        <v>0</v>
      </c>
      <c r="C131" s="240"/>
      <c r="D131" s="333" t="s">
        <v>0</v>
      </c>
      <c r="E131" s="296"/>
      <c r="F131" s="296"/>
      <c r="G131" s="234"/>
      <c r="H131" s="495" t="s">
        <v>303</v>
      </c>
    </row>
    <row r="132" spans="2:8" ht="15" customHeight="1" thickBot="1">
      <c r="B132" s="246" t="s">
        <v>0</v>
      </c>
      <c r="C132" s="240"/>
      <c r="D132" s="448" t="s">
        <v>0</v>
      </c>
      <c r="E132" s="458"/>
      <c r="F132" s="458"/>
      <c r="G132" s="501"/>
      <c r="H132" s="497" t="str">
        <f>"As at "&amp;(TEXT(COA!$B$4,"MMMM DD, YYYY"))</f>
        <v>As at December 31, 2025</v>
      </c>
    </row>
    <row r="133" spans="2:8" ht="15" customHeight="1" thickTop="1">
      <c r="B133" s="246" t="s">
        <v>0</v>
      </c>
      <c r="C133" s="240"/>
      <c r="D133" s="457"/>
      <c r="E133" s="334"/>
      <c r="F133" s="238"/>
      <c r="G133" s="445">
        <f>YEAR(COA!$B$4)</f>
        <v>2025</v>
      </c>
      <c r="H133" s="446">
        <f>R_FS3[[#This Row],[ 4]]-1</f>
        <v>2024</v>
      </c>
    </row>
    <row r="134" spans="2:8" ht="15" customHeight="1">
      <c r="B134" s="246" t="s">
        <v>0</v>
      </c>
      <c r="C134" s="240"/>
      <c r="D134" s="237"/>
      <c r="E134" s="297"/>
      <c r="F134" s="237"/>
      <c r="G134" s="358" t="s">
        <v>260</v>
      </c>
      <c r="H134" s="359" t="s">
        <v>260</v>
      </c>
    </row>
    <row r="135" spans="2:8" ht="15" customHeight="1">
      <c r="B135" s="246" t="s">
        <v>0</v>
      </c>
      <c r="C135" s="246" t="s">
        <v>0</v>
      </c>
      <c r="D135" s="246" t="s">
        <v>0</v>
      </c>
      <c r="E135" s="246" t="s">
        <v>0</v>
      </c>
      <c r="F135" s="246" t="s">
        <v>0</v>
      </c>
      <c r="G135" s="246" t="s">
        <v>0</v>
      </c>
      <c r="H135" s="246" t="s">
        <v>0</v>
      </c>
    </row>
    <row r="136" spans="2:8" ht="15" customHeight="1">
      <c r="B136" s="246" t="s">
        <v>0</v>
      </c>
      <c r="C136" s="240"/>
      <c r="D136" s="465" t="s">
        <v>264</v>
      </c>
      <c r="E136" s="335" t="s">
        <v>255</v>
      </c>
      <c r="F136" s="336" t="s">
        <v>304</v>
      </c>
      <c r="G136" s="268" t="s">
        <v>0</v>
      </c>
      <c r="H136" s="295" t="s">
        <v>0</v>
      </c>
    </row>
    <row r="137" spans="2:8" ht="15" hidden="1" customHeight="1">
      <c r="B137" s="246">
        <f t="shared" ref="B137:B143" si="14">IF(G137+H137=0,0,1)</f>
        <v>0</v>
      </c>
      <c r="C137" s="489" t="s">
        <v>388</v>
      </c>
      <c r="D137" s="431" t="str">
        <f>(INDEX(TB_FS!C:C,MATCH(C137,TB_FS!B:B,0)))</f>
        <v>Land</v>
      </c>
      <c r="E137" s="236">
        <f>IFERROR(INDEX(TB_FS!D:D, MATCH(C137, TB_FS!B:B, 0)), 0)</f>
        <v>0</v>
      </c>
      <c r="F137" s="236">
        <f>IFERROR(INDEX(TB_FS!E:E, MATCH(D137, TB_FS!C:C, 0)), 0)</f>
        <v>0</v>
      </c>
      <c r="G137" s="511">
        <f>R_FS3[[#This Row],[ 2]]+R_FS3[[#This Row],[ 3]]</f>
        <v>0</v>
      </c>
      <c r="H137" s="236">
        <f>IFERROR(INDEX(TB_FS!E:E, MATCH($C$137, TB_FS!$B:$B, 0)), 0)</f>
        <v>0</v>
      </c>
    </row>
    <row r="138" spans="2:8" ht="15" hidden="1" customHeight="1">
      <c r="B138" s="246">
        <f t="shared" si="14"/>
        <v>0</v>
      </c>
      <c r="C138" s="491" t="s">
        <v>389</v>
      </c>
      <c r="D138" s="431" t="str">
        <f>(INDEX(TB_FS!C:C,MATCH(C138,TB_FS!B:B,0)))</f>
        <v>Building</v>
      </c>
      <c r="E138" s="236">
        <f>IFERROR(INDEX(TB_FS!D:D, MATCH(C138, TB_FS!B:B, 0)), 0)</f>
        <v>0</v>
      </c>
      <c r="F138" s="236">
        <f>IFERROR(INDEX(TB_FS!E:E, MATCH(D138, TB_FS!C:C, 0)), 0)</f>
        <v>0</v>
      </c>
      <c r="G138" s="511">
        <f>R_FS3[[#This Row],[ 2]]+R_FS3[[#This Row],[ 3]]</f>
        <v>0</v>
      </c>
      <c r="H138" s="236">
        <f>IFERROR(INDEX(TB_FS!E:E, MATCH($C$137, TB_FS!$B:$B, 0)), 0)</f>
        <v>0</v>
      </c>
    </row>
    <row r="139" spans="2:8" ht="15" customHeight="1">
      <c r="B139" s="246">
        <f t="shared" si="14"/>
        <v>1</v>
      </c>
      <c r="C139" s="491" t="s">
        <v>1144</v>
      </c>
      <c r="D139" s="431" t="str">
        <f>(INDEX(TB_FS!C:C,MATCH(C139,TB_FS!B:B,0)))</f>
        <v xml:space="preserve">Leasehold improvements </v>
      </c>
      <c r="E139" s="236">
        <f>IFERROR(INDEX(TB_FS!D:D, MATCH($C$139, TB_FS!$B:$B, 0)), 0)</f>
        <v>874942</v>
      </c>
      <c r="F139" s="236">
        <f>IFERROR(ABS(INDEX(TB_FS!D:D, MATCH($C$147, TB_FS!$B:$B, 0))), "")</f>
        <v>503688</v>
      </c>
      <c r="G139" s="511">
        <f>R_FS3[[#This Row],[ 2]]-R_FS3[[#This Row],[ 3]]</f>
        <v>371254</v>
      </c>
      <c r="H139" s="236">
        <f>IFERROR(INDEX(TB_FS!E:E,MATCH($C$139,TB_FS!$B:$B,0)),0)+(INDEX(TB_FS!E:E,MATCH($C$147,TB_FS!$B:$B,0)))</f>
        <v>464067</v>
      </c>
    </row>
    <row r="140" spans="2:8" ht="15" customHeight="1">
      <c r="B140" s="246">
        <f t="shared" si="14"/>
        <v>1</v>
      </c>
      <c r="C140" s="53" t="s">
        <v>551</v>
      </c>
      <c r="D140" s="431" t="str">
        <f>(INDEX(TB_FS!C:C,MATCH(C140,TB_FS!B:B,0)))</f>
        <v>Automobile</v>
      </c>
      <c r="E140" s="236">
        <f>IFERROR(INDEX(TB_FS!D:D, MATCH(C140, TB_FS!B:B, 0)), 0)</f>
        <v>32594</v>
      </c>
      <c r="F140" s="236">
        <f>IFERROR(ABS(INDEX(TB_FS!D:D, MATCH($C$148, TB_FS!$B:$B, 0))), "")</f>
        <v>29117</v>
      </c>
      <c r="G140" s="511">
        <f>R_FS3[[#This Row],[ 2]]-R_FS3[[#This Row],[ 3]]</f>
        <v>3477</v>
      </c>
      <c r="H140" s="236">
        <f>IFERROR(INDEX(TB_FS!E:E,MATCH($C$140,TB_FS!$B:$B,0)),0)+(INDEX(TB_FS!E:E,MATCH($C$148,TB_FS!$B:$B,0)))</f>
        <v>22642</v>
      </c>
    </row>
    <row r="141" spans="2:8" ht="15" customHeight="1">
      <c r="B141" s="246">
        <f t="shared" si="14"/>
        <v>1</v>
      </c>
      <c r="C141" s="491" t="s">
        <v>391</v>
      </c>
      <c r="D141" s="431" t="str">
        <f>(INDEX(TB_FS!C:C,MATCH(C141,TB_FS!B:B,0)))</f>
        <v>Equipment</v>
      </c>
      <c r="E141" s="236">
        <f>IFERROR(INDEX(TB_FS!D:D, MATCH(C141, TB_FS!B:B, 0)), 0)</f>
        <v>907431</v>
      </c>
      <c r="F141" s="236">
        <f>IFERROR(ABS(INDEX(TB_FS!D:D, MATCH($C$151, TB_FS!$B:$B, 0))), "")</f>
        <v>637006</v>
      </c>
      <c r="G141" s="511">
        <f>R_FS3[[#This Row],[ 2]]-R_FS3[[#This Row],[ 3]]</f>
        <v>270425</v>
      </c>
      <c r="H141" s="236">
        <f>IFERROR(INDEX(TB_FS!E:E,MATCH($C$141,TB_FS!$B:$B,0)),0)+(INDEX(TB_FS!E:E,MATCH($C$151,TB_FS!$B:$B,0)))</f>
        <v>271158</v>
      </c>
    </row>
    <row r="142" spans="2:8" ht="15" customHeight="1">
      <c r="B142" s="246">
        <f t="shared" si="14"/>
        <v>1</v>
      </c>
      <c r="C142" s="489" t="s">
        <v>394</v>
      </c>
      <c r="D142" s="431" t="str">
        <f>(INDEX(TB_FS!C:C,MATCH(C142,TB_FS!B:B,0)))</f>
        <v>Computer</v>
      </c>
      <c r="E142" s="236">
        <f>IFERROR(INDEX(TB_FS!D:D, MATCH(C142, TB_FS!B:B, 0)), 0)</f>
        <v>88952</v>
      </c>
      <c r="F142" s="236">
        <f>IFERROR(ABS(INDEX(TB_FS!D:D, MATCH($C$150, TB_FS!$B:$B, 0))), "")</f>
        <v>63487</v>
      </c>
      <c r="G142" s="511">
        <f>R_FS3[[#This Row],[ 2]]-R_FS3[[#This Row],[ 3]]</f>
        <v>25465</v>
      </c>
      <c r="H142" s="236">
        <f>IFERROR(INDEX(TB_FS!E:E,MATCH($C$142,TB_FS!$B:$B,0)),0)+(INDEX(TB_FS!E:E,MATCH($C$150,TB_FS!$B:$B,0)))</f>
        <v>19298</v>
      </c>
    </row>
    <row r="143" spans="2:8" ht="15" customHeight="1">
      <c r="B143" s="246">
        <f t="shared" si="14"/>
        <v>1</v>
      </c>
      <c r="C143" s="491" t="s">
        <v>1149</v>
      </c>
      <c r="D143" s="431" t="str">
        <f>(INDEX(TB_FS!C:C,MATCH(C143,TB_FS!B:B,0)))</f>
        <v>Franchise Fees</v>
      </c>
      <c r="E143" s="236">
        <f>IFERROR(INDEX(TB_FS!D:D, MATCH(C143, TB_FS!B:B, 0)), 0)</f>
        <v>62250</v>
      </c>
      <c r="F143" s="236">
        <f>IFERROR(ABS(INDEX(TB_FS!D:D, MATCH($C$152, TB_FS!$B:$B, 0))), "")</f>
        <v>47550</v>
      </c>
      <c r="G143" s="511">
        <f>R_FS3[[#This Row],[ 2]]-R_FS3[[#This Row],[ 3]]</f>
        <v>14700</v>
      </c>
      <c r="H143" s="236">
        <f>IFERROR(INDEX(TB_FS!E:E,MATCH($C$143,TB_FS!$B:$B,0)),0)+(INDEX(TB_FS!E:E,MATCH($C$152,TB_FS!$B:$B,0)))</f>
        <v>18375</v>
      </c>
    </row>
    <row r="144" spans="2:8" ht="15" customHeight="1" thickBot="1">
      <c r="B144" s="246" t="s">
        <v>0</v>
      </c>
      <c r="C144" s="240" t="s">
        <v>0</v>
      </c>
      <c r="D144" s="478" t="s">
        <v>0</v>
      </c>
      <c r="E144" s="479">
        <f>SUM(E137:E143)</f>
        <v>1966169</v>
      </c>
      <c r="F144" s="479">
        <f>SUM(F137:F143)</f>
        <v>1280848</v>
      </c>
      <c r="G144" s="479">
        <f>SUM(G137:G143)</f>
        <v>685321</v>
      </c>
      <c r="H144" s="479">
        <f>SUM(H137:H143)</f>
        <v>795540</v>
      </c>
    </row>
    <row r="145" spans="2:11" ht="15" customHeight="1" thickTop="1">
      <c r="B145" s="246" t="s">
        <v>0</v>
      </c>
      <c r="C145" s="240"/>
      <c r="D145" s="266"/>
      <c r="E145" s="246" t="s">
        <v>0</v>
      </c>
      <c r="F145" s="246"/>
      <c r="G145" s="246" t="s">
        <v>0</v>
      </c>
      <c r="H145" s="246" t="s">
        <v>0</v>
      </c>
    </row>
    <row r="146" spans="2:11" ht="15.75" hidden="1" customHeight="1">
      <c r="B146" s="246">
        <v>0</v>
      </c>
      <c r="C146" s="1285" t="s">
        <v>390</v>
      </c>
      <c r="D146" s="431" t="str">
        <f>(INDEX(TB_FS!C:C,MATCH(C146,TB_FS!B:B,0)))</f>
        <v>Accumulated amortization Building</v>
      </c>
      <c r="E146" s="246"/>
      <c r="F146" s="246"/>
      <c r="G146" s="511" t="s">
        <v>0</v>
      </c>
      <c r="H146" s="271" t="s">
        <v>0</v>
      </c>
    </row>
    <row r="147" spans="2:11" ht="15" hidden="1" customHeight="1">
      <c r="B147" s="246">
        <v>0</v>
      </c>
      <c r="C147" s="491" t="s">
        <v>1145</v>
      </c>
      <c r="D147" s="431" t="str">
        <f>(INDEX(TB_FS!C:C,MATCH(C147,TB_FS!B:B,0)))</f>
        <v>Accumulated amortization leaseholds</v>
      </c>
      <c r="E147" s="246"/>
      <c r="F147" s="236">
        <v>0</v>
      </c>
      <c r="G147" s="236">
        <v>0</v>
      </c>
      <c r="H147" s="271" t="s">
        <v>0</v>
      </c>
    </row>
    <row r="148" spans="2:11" ht="15" hidden="1" customHeight="1">
      <c r="B148" s="246">
        <v>0</v>
      </c>
      <c r="C148" s="53" t="s">
        <v>552</v>
      </c>
      <c r="D148" s="431" t="str">
        <f>(INDEX(TB_FS!C:C,MATCH(C148,TB_FS!B:B,0)))</f>
        <v>Accumulated amortization automobile</v>
      </c>
      <c r="E148" s="246"/>
      <c r="F148" s="236">
        <v>0</v>
      </c>
      <c r="G148" s="236">
        <v>0</v>
      </c>
      <c r="H148" s="236" t="s">
        <v>0</v>
      </c>
    </row>
    <row r="149" spans="2:11" ht="15" hidden="1" customHeight="1">
      <c r="B149" s="246">
        <v>0</v>
      </c>
      <c r="C149" s="53" t="s">
        <v>399</v>
      </c>
      <c r="D149" s="431" t="str">
        <f>(INDEX(TB_FS!C:C,MATCH(C149,TB_FS!B:B,0)))</f>
        <v>Accumulated amortization Furniture</v>
      </c>
      <c r="E149" s="246"/>
      <c r="F149" s="236">
        <f>IFERROR(ABS(INDEX(TB_FS!D:D, MATCH(C149, TB_FS!B:B, 0))),"")</f>
        <v>0</v>
      </c>
      <c r="G149" s="236">
        <f>IFERROR(ABS(INDEX(TB_FS!E:E, MATCH(D149, TB_FS!C:C, 0))),"")</f>
        <v>0</v>
      </c>
      <c r="H149" s="271" t="s">
        <v>0</v>
      </c>
    </row>
    <row r="150" spans="2:11" ht="17.45" hidden="1" customHeight="1">
      <c r="B150" s="246">
        <v>0</v>
      </c>
      <c r="C150" s="489" t="s">
        <v>395</v>
      </c>
      <c r="D150" s="431" t="str">
        <f>(INDEX(TB_FS!C:C,MATCH(C150,TB_FS!B:B,0)))</f>
        <v>Accumulated amortization computer</v>
      </c>
      <c r="E150" s="246"/>
      <c r="F150" s="236">
        <v>0</v>
      </c>
      <c r="G150" s="236">
        <v>0</v>
      </c>
      <c r="H150" s="271" t="s">
        <v>0</v>
      </c>
    </row>
    <row r="151" spans="2:11" ht="15" hidden="1" customHeight="1">
      <c r="B151" s="246">
        <v>0</v>
      </c>
      <c r="C151" s="489" t="s">
        <v>392</v>
      </c>
      <c r="D151" s="431" t="str">
        <f>(INDEX(TB_FS!C:C,MATCH(C151,TB_FS!B:B,0)))</f>
        <v>Accumulated amortization equipment</v>
      </c>
      <c r="E151" s="246"/>
      <c r="F151" s="236">
        <v>0</v>
      </c>
      <c r="G151" s="236">
        <v>0</v>
      </c>
      <c r="H151" s="234" t="s">
        <v>0</v>
      </c>
    </row>
    <row r="152" spans="2:11" ht="15" hidden="1" customHeight="1">
      <c r="B152" s="246">
        <v>0</v>
      </c>
      <c r="C152" s="491" t="s">
        <v>1150</v>
      </c>
      <c r="D152" s="431" t="str">
        <f>(INDEX(TB_FS!C:C,MATCH(C152,TB_FS!B:B,0)))</f>
        <v>Accumulated amortization Franchise Fee</v>
      </c>
      <c r="E152" s="246"/>
      <c r="F152" s="236">
        <v>0</v>
      </c>
      <c r="G152" s="236">
        <v>0</v>
      </c>
      <c r="H152" s="266"/>
    </row>
    <row r="153" spans="2:11" ht="15" customHeight="1">
      <c r="B153" s="431"/>
      <c r="C153" s="431"/>
      <c r="D153" s="431"/>
      <c r="E153" s="431"/>
      <c r="F153" s="431"/>
      <c r="G153" s="266"/>
      <c r="H153" s="266"/>
    </row>
    <row r="154" spans="2:11" ht="15" customHeight="1">
      <c r="B154" s="431"/>
      <c r="C154" s="431"/>
      <c r="D154" s="431"/>
      <c r="E154" s="431"/>
      <c r="F154" s="431"/>
      <c r="G154" s="266"/>
      <c r="H154" s="266"/>
    </row>
    <row r="155" spans="2:11" ht="15" customHeight="1">
      <c r="B155" s="246" t="s">
        <v>0</v>
      </c>
      <c r="C155" s="240"/>
      <c r="D155" s="245"/>
      <c r="E155" s="244"/>
      <c r="F155" s="244"/>
      <c r="G155" s="234"/>
      <c r="H155" s="234"/>
    </row>
    <row r="156" spans="2:11" ht="15" customHeight="1">
      <c r="B156" s="246" t="s">
        <v>0</v>
      </c>
      <c r="C156" s="240"/>
      <c r="D156" s="252" t="s">
        <v>0</v>
      </c>
      <c r="E156" s="296"/>
      <c r="F156" s="296"/>
      <c r="G156" s="500"/>
      <c r="H156" s="494" t="str">
        <f>UPPER(COA!$B$2)</f>
        <v>ANONYMOUS COMPANY</v>
      </c>
    </row>
    <row r="157" spans="2:11" ht="15" customHeight="1">
      <c r="B157" s="246" t="s">
        <v>0</v>
      </c>
      <c r="C157" s="240"/>
      <c r="D157" s="333"/>
      <c r="E157" s="296"/>
      <c r="F157" s="296"/>
      <c r="G157" s="234"/>
      <c r="H157" s="495" t="s">
        <v>604</v>
      </c>
      <c r="I157" s="431"/>
      <c r="J157" s="431"/>
      <c r="K157" s="431"/>
    </row>
    <row r="158" spans="2:11" ht="15" customHeight="1" thickBot="1">
      <c r="B158" s="246" t="s">
        <v>0</v>
      </c>
      <c r="C158" s="240"/>
      <c r="D158" s="448" t="s">
        <v>0</v>
      </c>
      <c r="E158" s="458"/>
      <c r="F158" s="458"/>
      <c r="G158" s="501"/>
      <c r="H158" s="497" t="str">
        <f>"As at "&amp;(TEXT(COA!$B$4,"MMMM DD, YYYY"))</f>
        <v>As at December 31, 2025</v>
      </c>
      <c r="I158" s="431"/>
      <c r="J158" s="431"/>
      <c r="K158" s="431"/>
    </row>
    <row r="159" spans="2:11" ht="15" customHeight="1" thickTop="1">
      <c r="B159" s="246" t="s">
        <v>0</v>
      </c>
      <c r="C159" s="240"/>
      <c r="D159" s="457"/>
      <c r="E159" s="334"/>
      <c r="F159" s="238"/>
      <c r="G159" s="445">
        <f>YEAR(COA!$B$4)</f>
        <v>2025</v>
      </c>
      <c r="H159" s="446">
        <f>R_FS3[[#This Row],[ 4]]-1</f>
        <v>2024</v>
      </c>
      <c r="I159" s="431"/>
      <c r="J159" s="431"/>
      <c r="K159" s="431"/>
    </row>
    <row r="160" spans="2:11" ht="15" customHeight="1">
      <c r="B160" s="246" t="s">
        <v>0</v>
      </c>
      <c r="C160" s="240"/>
      <c r="D160" s="237"/>
      <c r="E160" s="297"/>
      <c r="F160" s="237"/>
      <c r="G160" s="358" t="s">
        <v>260</v>
      </c>
      <c r="H160" s="359" t="s">
        <v>260</v>
      </c>
      <c r="I160" s="431"/>
      <c r="J160" s="431"/>
      <c r="K160" s="431"/>
    </row>
    <row r="161" spans="2:11" ht="15" customHeight="1">
      <c r="B161" s="431"/>
      <c r="C161" s="431"/>
      <c r="D161" s="431"/>
      <c r="E161" s="431"/>
      <c r="F161" s="431"/>
      <c r="G161" s="266"/>
      <c r="H161" s="266"/>
      <c r="I161" s="431"/>
      <c r="J161" s="431"/>
      <c r="K161" s="431"/>
    </row>
    <row r="162" spans="2:11" ht="15" customHeight="1">
      <c r="B162" s="246" t="s">
        <v>0</v>
      </c>
      <c r="C162" s="240"/>
      <c r="D162" s="465" t="s">
        <v>633</v>
      </c>
      <c r="E162" s="335" t="s">
        <v>0</v>
      </c>
      <c r="F162" s="336" t="s">
        <v>0</v>
      </c>
      <c r="G162" s="268" t="s">
        <v>0</v>
      </c>
      <c r="H162" s="295" t="s">
        <v>0</v>
      </c>
      <c r="I162" s="431"/>
      <c r="J162" s="431"/>
      <c r="K162" s="431"/>
    </row>
    <row r="163" spans="2:11" ht="15" customHeight="1">
      <c r="B163" s="246" t="s">
        <v>0</v>
      </c>
      <c r="C163" s="240"/>
      <c r="D163" s="465" t="s">
        <v>643</v>
      </c>
      <c r="E163" s="335" t="s">
        <v>0</v>
      </c>
      <c r="F163" s="336"/>
      <c r="G163" s="511">
        <f>IF(G288&gt;0.01,G288,0)</f>
        <v>0</v>
      </c>
      <c r="H163" s="511">
        <f>IF(H288&gt;0.01,H288,0)</f>
        <v>0</v>
      </c>
      <c r="I163" s="431"/>
      <c r="J163" s="431"/>
      <c r="K163" s="431"/>
    </row>
    <row r="164" spans="2:11" ht="15" customHeight="1">
      <c r="B164" s="246" t="s">
        <v>0</v>
      </c>
      <c r="C164" s="240"/>
      <c r="D164" s="465"/>
      <c r="E164" s="335" t="s">
        <v>0</v>
      </c>
      <c r="F164" s="336"/>
      <c r="G164" s="511" t="s">
        <v>0</v>
      </c>
      <c r="H164" s="511" t="s">
        <v>0</v>
      </c>
      <c r="I164" s="431"/>
      <c r="J164" s="431"/>
      <c r="K164" s="431"/>
    </row>
    <row r="165" spans="2:11" ht="15" customHeight="1">
      <c r="B165" s="246" t="s">
        <v>0</v>
      </c>
      <c r="C165" s="240"/>
      <c r="D165" s="465" t="s">
        <v>634</v>
      </c>
      <c r="E165" s="335" t="s">
        <v>0</v>
      </c>
      <c r="F165" s="336"/>
      <c r="G165" s="511">
        <f>IF(G288&lt;0.01,G288,0)</f>
        <v>-164955</v>
      </c>
      <c r="H165" s="511">
        <f>IF(H288&lt;0.01,H288,0)</f>
        <v>-289463</v>
      </c>
      <c r="I165" s="431"/>
      <c r="J165" s="431"/>
      <c r="K165" s="431"/>
    </row>
    <row r="166" spans="2:11" ht="15" customHeight="1" thickBot="1">
      <c r="B166" s="246" t="s">
        <v>0</v>
      </c>
      <c r="C166" s="240" t="s">
        <v>0</v>
      </c>
      <c r="D166" s="478" t="s">
        <v>0</v>
      </c>
      <c r="E166" s="464"/>
      <c r="F166" s="464"/>
      <c r="G166" s="479">
        <f>G165+G163</f>
        <v>-164955</v>
      </c>
      <c r="H166" s="479">
        <f t="shared" ref="H166" si="15">H165+H163</f>
        <v>-289463</v>
      </c>
      <c r="I166" s="431"/>
      <c r="J166" s="431"/>
      <c r="K166" s="431"/>
    </row>
    <row r="167" spans="2:11" ht="15" customHeight="1" thickTop="1">
      <c r="B167" s="246" t="s">
        <v>0</v>
      </c>
      <c r="C167" s="240"/>
      <c r="D167" s="266"/>
      <c r="E167" s="246"/>
      <c r="F167" s="235"/>
      <c r="G167" s="511" t="s">
        <v>0</v>
      </c>
      <c r="H167" s="271" t="s">
        <v>0</v>
      </c>
      <c r="I167" s="431"/>
      <c r="J167" s="431"/>
      <c r="K167" s="431"/>
    </row>
    <row r="168" spans="2:11" ht="15" customHeight="1">
      <c r="B168" s="246" t="s">
        <v>0</v>
      </c>
      <c r="C168" s="240"/>
      <c r="D168" s="465" t="s">
        <v>647</v>
      </c>
      <c r="E168" s="335" t="s">
        <v>0</v>
      </c>
      <c r="F168" s="336"/>
      <c r="G168" s="511" t="s">
        <v>0</v>
      </c>
      <c r="H168" s="271" t="s">
        <v>0</v>
      </c>
      <c r="I168" s="431"/>
      <c r="J168" s="431"/>
      <c r="K168" s="431"/>
    </row>
    <row r="169" spans="2:11" ht="15" hidden="1" customHeight="1">
      <c r="B169" s="246">
        <f t="shared" ref="B169:B172" si="16">IF(G169+H169=0,0,1)</f>
        <v>0</v>
      </c>
      <c r="C169" s="491" t="s">
        <v>528</v>
      </c>
      <c r="D169" s="431" t="str">
        <f>(INDEX(TB_FS!C:C,MATCH(C169,TB_FS!B:B,0)))</f>
        <v>Family Investments Corp</v>
      </c>
      <c r="E169" s="246"/>
      <c r="F169" s="249" t="s">
        <v>0</v>
      </c>
      <c r="G169" s="511">
        <f>IF(G294&gt;0.01,G294,0)</f>
        <v>0</v>
      </c>
      <c r="H169" s="511">
        <f>IF(H294&gt;0.01,H294,0)</f>
        <v>0</v>
      </c>
      <c r="I169" s="431"/>
      <c r="J169" s="431"/>
      <c r="K169" s="431"/>
    </row>
    <row r="170" spans="2:11" ht="15" customHeight="1">
      <c r="B170" s="246">
        <f t="shared" si="16"/>
        <v>1</v>
      </c>
      <c r="C170" s="507" t="s">
        <v>556</v>
      </c>
      <c r="D170" s="431" t="str">
        <f>(INDEX(TB_FS!C:C,MATCH(C170,TB_FS!B:B,0)))</f>
        <v>Related parties Current</v>
      </c>
      <c r="E170" s="246"/>
      <c r="F170" s="249" t="s">
        <v>0</v>
      </c>
      <c r="G170" s="511">
        <f>IF(G296&gt;0.01,G296,0)</f>
        <v>318967</v>
      </c>
      <c r="H170" s="511">
        <f>IF(H296&gt;0.01,H296,0)</f>
        <v>95144</v>
      </c>
      <c r="I170" s="431"/>
      <c r="J170" s="431"/>
      <c r="K170" s="431"/>
    </row>
    <row r="171" spans="2:11" ht="15" hidden="1" customHeight="1">
      <c r="B171" s="246">
        <v>0</v>
      </c>
      <c r="C171" s="491" t="s">
        <v>0</v>
      </c>
      <c r="D171" s="431"/>
      <c r="E171" s="246" t="s">
        <v>0</v>
      </c>
      <c r="F171" s="249"/>
      <c r="G171" s="492">
        <f>SUBTOTAL(109,G169:G170)</f>
        <v>318967</v>
      </c>
      <c r="H171" s="492">
        <f t="shared" ref="H171" si="17">SUBTOTAL(109,H169:H170)</f>
        <v>95144</v>
      </c>
      <c r="I171" s="431"/>
      <c r="J171" s="431"/>
      <c r="K171" s="431"/>
    </row>
    <row r="172" spans="2:11" ht="15" hidden="1" customHeight="1">
      <c r="B172" s="246">
        <f t="shared" si="16"/>
        <v>0</v>
      </c>
      <c r="C172" s="491" t="s">
        <v>531</v>
      </c>
      <c r="D172" s="431" t="str">
        <f>(INDEX(TB_FS!C:C,MATCH(C172,TB_FS!B:B,0)))</f>
        <v>Current obligations</v>
      </c>
      <c r="E172" s="246"/>
      <c r="F172" s="361" t="s">
        <v>0</v>
      </c>
      <c r="G172" s="236">
        <f>IFERROR(INDEX(#REF!, MATCH(C172,#REF!, 0)), 0)</f>
        <v>0</v>
      </c>
      <c r="H172" s="236">
        <f>IFERROR(INDEX(#REF!, MATCH(D172,#REF!, 0)), 0)</f>
        <v>0</v>
      </c>
      <c r="I172" s="431"/>
      <c r="J172" s="431"/>
      <c r="K172" s="431"/>
    </row>
    <row r="173" spans="2:11" ht="15" hidden="1" customHeight="1" thickBot="1">
      <c r="B173" s="246">
        <v>0</v>
      </c>
      <c r="C173" s="240" t="s">
        <v>0</v>
      </c>
      <c r="D173" s="478" t="s">
        <v>0</v>
      </c>
      <c r="E173" s="464"/>
      <c r="F173" s="464"/>
      <c r="G173" s="479">
        <f>G171+G172</f>
        <v>318967</v>
      </c>
      <c r="H173" s="479">
        <f t="shared" ref="H173" si="18">H171+H172</f>
        <v>95144</v>
      </c>
      <c r="I173" s="431"/>
      <c r="J173" s="431"/>
      <c r="K173" s="431"/>
    </row>
    <row r="174" spans="2:11" ht="15" customHeight="1">
      <c r="B174" s="246" t="s">
        <v>0</v>
      </c>
      <c r="C174" s="240"/>
      <c r="D174" s="266"/>
      <c r="E174" s="246" t="s">
        <v>0</v>
      </c>
      <c r="F174" s="235"/>
      <c r="G174" s="511" t="s">
        <v>0</v>
      </c>
      <c r="H174" s="271" t="s">
        <v>0</v>
      </c>
      <c r="I174" s="431"/>
      <c r="J174" s="431"/>
      <c r="K174" s="431"/>
    </row>
    <row r="175" spans="2:11" ht="15" customHeight="1">
      <c r="B175" s="246" t="s">
        <v>0</v>
      </c>
      <c r="C175" s="240"/>
      <c r="D175" s="465" t="s">
        <v>648</v>
      </c>
      <c r="E175" s="335" t="s">
        <v>0</v>
      </c>
      <c r="F175" s="336"/>
      <c r="G175" s="511" t="s">
        <v>0</v>
      </c>
      <c r="H175" s="271" t="s">
        <v>0</v>
      </c>
      <c r="I175" s="431"/>
      <c r="J175" s="431"/>
      <c r="K175" s="431"/>
    </row>
    <row r="176" spans="2:11" ht="15" customHeight="1">
      <c r="B176" s="246">
        <f t="shared" ref="B176:B177" si="19">IF(G176+H176=0,0,1)</f>
        <v>1</v>
      </c>
      <c r="C176" s="491" t="s">
        <v>527</v>
      </c>
      <c r="D176" s="431" t="str">
        <f>(INDEX(TB_FS!C:C,MATCH(C176,TB_FS!B:B,0)))</f>
        <v>ABC Company</v>
      </c>
      <c r="E176" s="246"/>
      <c r="F176" s="249" t="s">
        <v>0</v>
      </c>
      <c r="G176" s="511">
        <f>ABS(IF(G294&lt;0.01,G294,0))</f>
        <v>0</v>
      </c>
      <c r="H176" s="511">
        <f>ABS(IF(H294&lt;0.01,H294,0))</f>
        <v>63166</v>
      </c>
      <c r="I176" s="431"/>
      <c r="J176" s="431"/>
      <c r="K176" s="431"/>
    </row>
    <row r="177" spans="2:11" ht="15" hidden="1" customHeight="1">
      <c r="B177" s="246">
        <f t="shared" si="19"/>
        <v>0</v>
      </c>
      <c r="C177" s="491" t="s">
        <v>528</v>
      </c>
      <c r="D177" s="431" t="str">
        <f>(INDEX(TB_FS!C:C,MATCH(C177,TB_FS!B:B,0)))</f>
        <v>Family Investments Corp</v>
      </c>
      <c r="E177" s="246"/>
      <c r="F177" s="249" t="s">
        <v>0</v>
      </c>
      <c r="G177" s="511">
        <f>ABS(IF(G296&lt;0.01,G296,0))</f>
        <v>0</v>
      </c>
      <c r="H177" s="511">
        <f>ABS(IF(H296&lt;0.01,H296,0))</f>
        <v>0</v>
      </c>
      <c r="I177" s="431"/>
      <c r="J177" s="431"/>
      <c r="K177" s="431"/>
    </row>
    <row r="178" spans="2:11" ht="15" hidden="1" customHeight="1">
      <c r="B178" s="246">
        <v>0</v>
      </c>
      <c r="C178" s="491"/>
      <c r="D178" s="431"/>
      <c r="E178" s="246" t="s">
        <v>0</v>
      </c>
      <c r="F178" s="249"/>
      <c r="G178" s="492">
        <f>SUBTOTAL(109,G176:G177)</f>
        <v>0</v>
      </c>
      <c r="H178" s="492">
        <f t="shared" ref="H178" si="20">SUBTOTAL(109,H176:H177)</f>
        <v>63166</v>
      </c>
      <c r="I178" s="431"/>
      <c r="J178" s="431"/>
      <c r="K178" s="431"/>
    </row>
    <row r="179" spans="2:11" ht="15" hidden="1" customHeight="1">
      <c r="B179" s="246">
        <f t="shared" ref="B179" si="21">IF(G179+H179=0,0,1)</f>
        <v>0</v>
      </c>
      <c r="C179" s="491" t="s">
        <v>531</v>
      </c>
      <c r="D179" s="431" t="str">
        <f>(INDEX(TB_FS!C:C,MATCH(C179,TB_FS!B:B,0)))</f>
        <v>Current obligations</v>
      </c>
      <c r="E179" s="246"/>
      <c r="F179" s="361" t="s">
        <v>0</v>
      </c>
      <c r="G179" s="236">
        <f>IFERROR(INDEX(#REF!, MATCH(C179,#REF!, 0)), 0)</f>
        <v>0</v>
      </c>
      <c r="H179" s="236">
        <f>IFERROR(INDEX(#REF!, MATCH(D179,#REF!, 0)), 0)</f>
        <v>0</v>
      </c>
      <c r="I179" s="431"/>
      <c r="J179" s="431"/>
      <c r="K179" s="431"/>
    </row>
    <row r="180" spans="2:11" ht="15" hidden="1" customHeight="1" thickBot="1">
      <c r="B180" s="246">
        <v>0</v>
      </c>
      <c r="C180" s="240" t="s">
        <v>0</v>
      </c>
      <c r="D180" s="478" t="s">
        <v>0</v>
      </c>
      <c r="E180" s="464"/>
      <c r="F180" s="464"/>
      <c r="G180" s="479">
        <f>G178+G179</f>
        <v>0</v>
      </c>
      <c r="H180" s="479">
        <f t="shared" ref="H180" si="22">H178+H179</f>
        <v>63166</v>
      </c>
      <c r="I180" s="431"/>
      <c r="J180" s="431"/>
      <c r="K180" s="431"/>
    </row>
    <row r="181" spans="2:11" ht="15" customHeight="1">
      <c r="B181" s="246" t="s">
        <v>0</v>
      </c>
      <c r="C181" s="240"/>
      <c r="D181" s="266"/>
      <c r="E181" s="246" t="s">
        <v>0</v>
      </c>
      <c r="F181" s="235"/>
      <c r="G181" s="511" t="s">
        <v>0</v>
      </c>
      <c r="H181" s="271" t="s">
        <v>0</v>
      </c>
      <c r="I181" s="431"/>
      <c r="J181" s="431"/>
      <c r="K181" s="431"/>
    </row>
    <row r="182" spans="2:11" ht="15" customHeight="1">
      <c r="B182" s="246" t="s">
        <v>0</v>
      </c>
      <c r="C182" s="240"/>
      <c r="D182" s="266"/>
      <c r="E182" s="246" t="s">
        <v>0</v>
      </c>
      <c r="F182" s="235"/>
      <c r="G182" s="268" t="s">
        <v>0</v>
      </c>
      <c r="H182" s="295" t="s">
        <v>0</v>
      </c>
      <c r="I182" s="431"/>
      <c r="J182" s="431"/>
      <c r="K182" s="431"/>
    </row>
    <row r="183" spans="2:11" ht="15" customHeight="1">
      <c r="B183" s="246" t="s">
        <v>0</v>
      </c>
      <c r="C183" s="240"/>
      <c r="D183" s="439" t="s">
        <v>0</v>
      </c>
      <c r="E183" s="296"/>
      <c r="F183" s="296"/>
      <c r="G183" s="500"/>
      <c r="H183" s="494" t="str">
        <f>UPPER(COA!$B$2)</f>
        <v>ANONYMOUS COMPANY</v>
      </c>
      <c r="I183" s="431"/>
      <c r="J183" s="431"/>
      <c r="K183" s="431"/>
    </row>
    <row r="184" spans="2:11" ht="15" customHeight="1">
      <c r="B184" s="246" t="s">
        <v>0</v>
      </c>
      <c r="C184" s="240"/>
      <c r="D184" s="333" t="s">
        <v>0</v>
      </c>
      <c r="E184" s="296"/>
      <c r="F184" s="296"/>
      <c r="G184" s="234"/>
      <c r="H184" s="495" t="s">
        <v>603</v>
      </c>
      <c r="I184" s="431"/>
      <c r="J184" s="431"/>
      <c r="K184" s="431"/>
    </row>
    <row r="185" spans="2:11" ht="15" customHeight="1" thickBot="1">
      <c r="B185" s="246" t="s">
        <v>0</v>
      </c>
      <c r="C185" s="240"/>
      <c r="D185" s="448" t="s">
        <v>0</v>
      </c>
      <c r="E185" s="458"/>
      <c r="F185" s="458"/>
      <c r="G185" s="501"/>
      <c r="H185" s="497" t="str">
        <f>"As at "&amp;(TEXT(COA!$B$4,"MMMM DD, YYYY"))</f>
        <v>As at December 31, 2025</v>
      </c>
      <c r="I185" s="431"/>
      <c r="J185" s="431"/>
      <c r="K185" s="431"/>
    </row>
    <row r="186" spans="2:11" ht="15" customHeight="1" thickTop="1">
      <c r="B186" s="246" t="s">
        <v>0</v>
      </c>
      <c r="C186" s="240"/>
      <c r="D186" s="457"/>
      <c r="E186" s="334"/>
      <c r="F186" s="238"/>
      <c r="G186" s="445">
        <f>YEAR(COA!$B$4)</f>
        <v>2025</v>
      </c>
      <c r="H186" s="446">
        <f>R_FS3[[#This Row],[ 4]]-1</f>
        <v>2024</v>
      </c>
      <c r="I186" s="431"/>
      <c r="J186" s="431"/>
      <c r="K186" s="431"/>
    </row>
    <row r="187" spans="2:11" ht="15" customHeight="1">
      <c r="B187" s="246" t="s">
        <v>0</v>
      </c>
      <c r="C187" s="240"/>
      <c r="D187" s="237"/>
      <c r="E187" s="297"/>
      <c r="F187" s="237"/>
      <c r="G187" s="358" t="s">
        <v>260</v>
      </c>
      <c r="H187" s="359" t="s">
        <v>260</v>
      </c>
      <c r="I187" s="431"/>
      <c r="J187" s="431"/>
      <c r="K187" s="431"/>
    </row>
    <row r="188" spans="2:11" ht="15" customHeight="1">
      <c r="B188" s="431"/>
      <c r="C188" s="431"/>
      <c r="D188" s="431"/>
      <c r="E188" s="431"/>
      <c r="F188" s="431"/>
      <c r="G188" s="266"/>
      <c r="H188" s="266"/>
      <c r="I188" s="431"/>
      <c r="J188" s="431"/>
      <c r="K188" s="431"/>
    </row>
    <row r="189" spans="2:11" ht="15" customHeight="1">
      <c r="B189" s="431"/>
      <c r="C189" s="431"/>
      <c r="D189" s="431"/>
      <c r="E189" s="431"/>
      <c r="F189" s="431"/>
      <c r="G189" s="266"/>
      <c r="H189" s="266"/>
      <c r="I189" s="431"/>
      <c r="J189" s="431"/>
      <c r="K189" s="431"/>
    </row>
    <row r="190" spans="2:11" ht="15" customHeight="1">
      <c r="B190" s="246" t="s">
        <v>0</v>
      </c>
      <c r="C190" s="240"/>
      <c r="D190" s="465" t="s">
        <v>294</v>
      </c>
      <c r="E190" s="335" t="s">
        <v>0</v>
      </c>
      <c r="F190" s="336" t="s">
        <v>0</v>
      </c>
      <c r="G190" s="268" t="s">
        <v>0</v>
      </c>
      <c r="H190" s="295" t="s">
        <v>0</v>
      </c>
      <c r="I190" s="431"/>
      <c r="J190" s="431"/>
      <c r="K190" s="431"/>
    </row>
    <row r="191" spans="2:11" ht="51" customHeight="1">
      <c r="B191" s="246">
        <f t="shared" ref="B191:B193" si="23">IF(G191+H191=0,0,1)</f>
        <v>1</v>
      </c>
      <c r="C191" s="491" t="s">
        <v>427</v>
      </c>
      <c r="D191" s="688" t="str">
        <f>(INDEX(TB_FS!C:C,MATCH(C191,TB_FS!B:B,0)))</f>
        <v>5.5% Bank Term Loan due in monthly principal payments amounting to $9,200 plus interest. Secured by a debenture over  the assets on the company having a net book value   $71,071</v>
      </c>
      <c r="E191" s="334"/>
      <c r="F191" s="1284" t="s">
        <v>0</v>
      </c>
      <c r="G191" s="236">
        <f>IFERROR(ABS(INDEX(TB_FS!D:D, MATCH($C$191, TB_FS!$B:$B, 0))), "")</f>
        <v>394111</v>
      </c>
      <c r="H191" s="236">
        <f>IFERROR(ABS(INDEX(TB_FS!E:E, MATCH($C$191, TB_FS!$B:$B, 0))), "")</f>
        <v>503563</v>
      </c>
      <c r="I191" s="431"/>
      <c r="J191" s="431"/>
      <c r="K191" s="431"/>
    </row>
    <row r="192" spans="2:11" ht="15" hidden="1" customHeight="1">
      <c r="B192" s="246">
        <f t="shared" si="23"/>
        <v>0</v>
      </c>
      <c r="C192" s="491" t="s">
        <v>0</v>
      </c>
      <c r="D192" s="431">
        <f>(INDEX(TB_FS!C:C,MATCH(C192,TB_FS!B:B,0)))</f>
        <v>0</v>
      </c>
      <c r="E192" s="246"/>
      <c r="F192" s="249" t="s">
        <v>0</v>
      </c>
      <c r="G192" s="236">
        <f>IFERROR(ABS(INDEX(TB_FS!D:D, MATCH($C$192, TB_FS!$B:$B, 0))), "")</f>
        <v>0</v>
      </c>
      <c r="H192" s="236">
        <f>IFERROR(ABS(INDEX(TB_FS!E:E, MATCH($C$192, TB_FS!$B:$B, 0))), "")</f>
        <v>0</v>
      </c>
      <c r="I192" s="431"/>
      <c r="J192" s="431"/>
      <c r="K192" s="431"/>
    </row>
    <row r="193" spans="2:11" ht="56.25" hidden="1" customHeight="1">
      <c r="B193" s="246">
        <f t="shared" si="23"/>
        <v>0</v>
      </c>
      <c r="C193" s="491" t="s">
        <v>428</v>
      </c>
      <c r="D193" s="688" t="str">
        <f>(INDEX(TB_FS!C:C,MATCH(C193,TB_FS!B:B,0)))</f>
        <v>6.9% Mortgage due in monthly principal and interest payments amounting to $940. Secured by land and building having a net book value of $71,071</v>
      </c>
      <c r="E193" s="246"/>
      <c r="F193" s="249" t="s">
        <v>0</v>
      </c>
      <c r="G193" s="236">
        <f>IFERROR(ABS(INDEX(TB_FS!D:D, MATCH($C$193, TB_FS!$B:$B, 0))), "")</f>
        <v>0</v>
      </c>
      <c r="H193" s="236">
        <f>IFERROR(ABS(INDEX(TB_FS!E:E, MATCH($C$193, TB_FS!$B:$B, 0))), "")</f>
        <v>0</v>
      </c>
      <c r="I193" s="431"/>
      <c r="J193" s="431"/>
      <c r="K193" s="431"/>
    </row>
    <row r="194" spans="2:11" ht="30.75" customHeight="1">
      <c r="B194" s="246" t="s">
        <v>0</v>
      </c>
      <c r="C194" s="491"/>
      <c r="D194" s="431"/>
      <c r="E194" s="246" t="s">
        <v>0</v>
      </c>
      <c r="F194" s="249"/>
      <c r="G194" s="492">
        <f>SUBTOTAL(109,G191:G193)</f>
        <v>394111</v>
      </c>
      <c r="H194" s="492">
        <f t="shared" ref="H194" si="24">SUBTOTAL(109,H191:H193)</f>
        <v>503563</v>
      </c>
      <c r="I194" s="431"/>
      <c r="J194" s="431"/>
      <c r="K194" s="431"/>
    </row>
    <row r="195" spans="2:11" ht="30.75" customHeight="1">
      <c r="B195" s="246">
        <f t="shared" ref="B195" si="25">IF(G195+H195=0,0,1)</f>
        <v>1</v>
      </c>
      <c r="C195" s="491" t="s">
        <v>429</v>
      </c>
      <c r="D195" s="431" t="str">
        <f>(INDEX(TB_FS!C:C,MATCH(C195,TB_FS!B:B,0)))</f>
        <v>Principal due within one year</v>
      </c>
      <c r="E195" s="246"/>
      <c r="F195" s="361" t="s">
        <v>0</v>
      </c>
      <c r="G195" s="236">
        <f>IFERROR(INDEX(TB_FS!D:D, MATCH($C$195, TB_FS!$B:$B, 0)), 0)</f>
        <v>110400</v>
      </c>
      <c r="H195" s="236">
        <f>IFERROR(INDEX(TB_FS!E:E, MATCH($C$195, TB_FS!$B:$B, 0)), 0)</f>
        <v>0</v>
      </c>
      <c r="I195" s="431"/>
      <c r="J195" s="431"/>
      <c r="K195" s="431"/>
    </row>
    <row r="196" spans="2:11" ht="15" customHeight="1" thickBot="1">
      <c r="B196" s="246" t="s">
        <v>0</v>
      </c>
      <c r="C196" s="240" t="s">
        <v>0</v>
      </c>
      <c r="D196" s="478" t="s">
        <v>0</v>
      </c>
      <c r="E196" s="464"/>
      <c r="F196" s="464"/>
      <c r="G196" s="479">
        <f>G194-G195</f>
        <v>283711</v>
      </c>
      <c r="H196" s="479">
        <f t="shared" ref="H196" si="26">H194-H195</f>
        <v>503563</v>
      </c>
      <c r="I196" s="431"/>
      <c r="J196" s="431"/>
      <c r="K196" s="431"/>
    </row>
    <row r="197" spans="2:11" ht="15" customHeight="1" thickTop="1">
      <c r="B197" s="431"/>
      <c r="C197" s="431"/>
      <c r="D197" s="431"/>
      <c r="E197" s="431"/>
      <c r="F197" s="431"/>
      <c r="G197" s="266"/>
      <c r="H197" s="266"/>
      <c r="I197" s="431"/>
      <c r="J197" s="431"/>
      <c r="K197" s="431"/>
    </row>
    <row r="198" spans="2:11" ht="15" customHeight="1">
      <c r="B198" s="431"/>
      <c r="C198" s="431"/>
      <c r="D198" s="431"/>
      <c r="E198" s="431"/>
      <c r="F198" s="431"/>
      <c r="G198" s="266"/>
      <c r="H198" s="266"/>
      <c r="I198" s="431"/>
      <c r="J198" s="431"/>
      <c r="K198" s="431"/>
    </row>
    <row r="199" spans="2:11" ht="15" customHeight="1">
      <c r="B199" s="431"/>
      <c r="C199" s="431"/>
      <c r="D199" s="431"/>
      <c r="E199" s="431"/>
      <c r="F199" s="431"/>
      <c r="G199" s="266"/>
      <c r="H199" s="266"/>
      <c r="I199" s="431"/>
      <c r="J199" s="431"/>
      <c r="K199" s="431"/>
    </row>
    <row r="200" spans="2:11" ht="15" customHeight="1">
      <c r="B200" s="431"/>
      <c r="C200" s="431"/>
      <c r="D200" s="431"/>
      <c r="E200" s="431"/>
      <c r="F200" s="431"/>
      <c r="G200" s="266"/>
      <c r="H200" s="266"/>
      <c r="I200" s="431"/>
      <c r="J200" s="431"/>
      <c r="K200" s="431"/>
    </row>
    <row r="201" spans="2:11" ht="15" customHeight="1">
      <c r="B201" s="235"/>
      <c r="C201" s="288"/>
      <c r="D201" s="252" t="s">
        <v>0</v>
      </c>
      <c r="E201" s="243"/>
      <c r="F201" s="243"/>
      <c r="G201" s="493"/>
      <c r="H201" s="494" t="str">
        <f>UPPER(COA!$B$2)</f>
        <v>ANONYMOUS COMPANY</v>
      </c>
      <c r="I201" s="431"/>
      <c r="J201" s="431"/>
      <c r="K201" s="431"/>
    </row>
    <row r="202" spans="2:11" ht="15" customHeight="1">
      <c r="B202" s="235"/>
      <c r="C202" s="288"/>
      <c r="D202" s="333" t="s">
        <v>0</v>
      </c>
      <c r="E202" s="267"/>
      <c r="F202" s="267"/>
      <c r="G202" s="502"/>
      <c r="H202" s="495" t="s">
        <v>538</v>
      </c>
      <c r="I202" s="431"/>
      <c r="J202" s="431"/>
      <c r="K202" s="431"/>
    </row>
    <row r="203" spans="2:11" ht="15" customHeight="1" thickBot="1">
      <c r="B203" s="235"/>
      <c r="C203" s="288"/>
      <c r="D203" s="448" t="s">
        <v>0</v>
      </c>
      <c r="E203" s="448"/>
      <c r="F203" s="448"/>
      <c r="G203" s="496"/>
      <c r="H203" s="497" t="str">
        <f>"For the year ended "&amp;(TEXT(COA!$B$4,"MMMM DD, YYYY"))</f>
        <v>For the year ended December 31, 2025</v>
      </c>
      <c r="I203" s="431"/>
      <c r="J203" s="431"/>
      <c r="K203" s="431"/>
    </row>
    <row r="204" spans="2:11" ht="15" customHeight="1" thickTop="1">
      <c r="B204" s="235"/>
      <c r="C204" s="288"/>
      <c r="D204" s="457"/>
      <c r="E204" s="334"/>
      <c r="F204" s="238"/>
      <c r="G204" s="445">
        <f>YEAR(COA!$B$4)</f>
        <v>2025</v>
      </c>
      <c r="H204" s="446">
        <f>R_FS3[[#This Row],[ 4]]-1</f>
        <v>2024</v>
      </c>
      <c r="I204" s="431"/>
      <c r="J204" s="431"/>
      <c r="K204" s="431"/>
    </row>
    <row r="205" spans="2:11" ht="15" customHeight="1">
      <c r="B205" s="235"/>
      <c r="C205" s="288"/>
      <c r="D205" s="237"/>
      <c r="E205" s="297"/>
      <c r="F205" s="237"/>
      <c r="G205" s="358" t="s">
        <v>260</v>
      </c>
      <c r="H205" s="359" t="s">
        <v>260</v>
      </c>
      <c r="I205" s="431"/>
      <c r="J205" s="431"/>
      <c r="K205" s="431"/>
    </row>
    <row r="206" spans="2:11" ht="15" customHeight="1">
      <c r="B206" s="235"/>
      <c r="C206" s="288"/>
      <c r="D206" s="235"/>
      <c r="E206" s="246"/>
      <c r="F206" s="235"/>
      <c r="G206" s="503" t="s">
        <v>0</v>
      </c>
      <c r="H206" s="503" t="s">
        <v>0</v>
      </c>
      <c r="I206" s="431"/>
      <c r="J206" s="431"/>
      <c r="K206" s="431"/>
    </row>
    <row r="207" spans="2:11" ht="15" customHeight="1">
      <c r="B207" s="236" t="s">
        <v>0</v>
      </c>
      <c r="C207" s="288"/>
      <c r="D207" s="465" t="s">
        <v>245</v>
      </c>
      <c r="E207" s="246"/>
      <c r="F207" s="235"/>
      <c r="G207" s="234"/>
      <c r="H207" s="234"/>
      <c r="I207" s="431"/>
      <c r="J207" s="431"/>
      <c r="K207" s="431"/>
    </row>
    <row r="208" spans="2:11" ht="15" customHeight="1">
      <c r="B208" s="236">
        <f>IF(R_FS3[[#This Row],[ 4]]+R_FS3[[#This Row],[ 5]]=0,0,1)</f>
        <v>1</v>
      </c>
      <c r="C208" t="s">
        <v>587</v>
      </c>
      <c r="D208" s="431" t="str">
        <f>(INDEX(TB_FS!C:C,MATCH(C208,TB_FS!B:B,0)))</f>
        <v>Amortization of Tangible Assets</v>
      </c>
      <c r="E208" s="203"/>
      <c r="F208" s="235"/>
      <c r="G208" s="258">
        <f>IFERROR(INDEX(TB_FS!D:D, MATCH(C208, TB_FS!B:B, 0)), 0)</f>
        <v>166054</v>
      </c>
      <c r="H208" s="258">
        <f>IFERROR(INDEX(TB_FS!E:E, MATCH(C208, TB_FS!B:B, 0)), 0)</f>
        <v>193861</v>
      </c>
      <c r="I208" s="431"/>
      <c r="J208" s="431"/>
      <c r="K208" s="431"/>
    </row>
    <row r="209" spans="2:11" ht="15" customHeight="1">
      <c r="B209" s="236" t="s">
        <v>0</v>
      </c>
      <c r="C209" s="288"/>
      <c r="D209" s="240"/>
      <c r="E209" s="298" t="s">
        <v>0</v>
      </c>
      <c r="F209" s="235"/>
      <c r="G209" s="234"/>
      <c r="H209" s="234"/>
      <c r="I209" s="431"/>
      <c r="J209" s="431"/>
      <c r="K209" s="431"/>
    </row>
    <row r="210" spans="2:11" ht="15" customHeight="1">
      <c r="B210" s="236" t="s">
        <v>0</v>
      </c>
      <c r="C210" s="288"/>
      <c r="D210" s="465" t="s">
        <v>300</v>
      </c>
      <c r="E210" s="246"/>
      <c r="F210" s="235"/>
      <c r="G210" s="234"/>
      <c r="H210" s="234"/>
      <c r="I210" s="431"/>
      <c r="J210" s="431"/>
      <c r="K210" s="431"/>
    </row>
    <row r="211" spans="2:11" ht="15" hidden="1" customHeight="1">
      <c r="B211" s="236">
        <f>IF(R_FS3[[#This Row],[ 4]]+R_FS3[[#This Row],[ 5]]=0,0,1)</f>
        <v>0</v>
      </c>
      <c r="C211" t="s">
        <v>572</v>
      </c>
      <c r="D211" s="431" t="str">
        <f>(INDEX(TB_FS!C:C,MATCH(C211,TB_FS!B:B,0)))</f>
        <v>Liability insurance</v>
      </c>
      <c r="E211" s="203"/>
      <c r="F211" s="235"/>
      <c r="G211" s="236">
        <f>IFERROR(INDEX(TB_FS!D:D, MATCH(C211, TB_FS!B:B, 0)), 0)</f>
        <v>0</v>
      </c>
      <c r="H211" s="236">
        <f>IFERROR(INDEX(TB_FS!E:E, MATCH(C211, TB_FS!B:B, 0)), 0)</f>
        <v>0</v>
      </c>
      <c r="I211" s="431"/>
      <c r="J211" s="431"/>
      <c r="K211" s="431"/>
    </row>
    <row r="212" spans="2:11" ht="15" hidden="1" customHeight="1">
      <c r="B212" s="236">
        <f>IF(R_FS3[[#This Row],[ 4]]+R_FS3[[#This Row],[ 5]]=0,0,1)</f>
        <v>0</v>
      </c>
      <c r="C212" t="s">
        <v>580</v>
      </c>
      <c r="D212" s="431" t="str">
        <f>(INDEX(TB_FS!C:C,MATCH(C212,TB_FS!B:B,0)))</f>
        <v>Office supplies</v>
      </c>
      <c r="E212" s="203"/>
      <c r="F212" s="235"/>
      <c r="G212" s="236">
        <f>IFERROR(INDEX(TB_FS!D:D, MATCH(C212, TB_FS!B:B, 0)), 0)</f>
        <v>0</v>
      </c>
      <c r="H212" s="236">
        <f>IFERROR(INDEX(TB_FS!E:E, MATCH(C212, TB_FS!B:B, 0)), 0)</f>
        <v>0</v>
      </c>
      <c r="I212" s="431"/>
      <c r="J212" s="431"/>
      <c r="K212" s="431"/>
    </row>
    <row r="213" spans="2:11" ht="15" customHeight="1">
      <c r="B213" s="236">
        <f>IF(R_FS3[[#This Row],[ 4]]+R_FS3[[#This Row],[ 5]]=0,0,1)</f>
        <v>1</v>
      </c>
      <c r="C213" t="s">
        <v>581</v>
      </c>
      <c r="D213" s="431" t="str">
        <f>(INDEX(TB_FS!C:C,MATCH(C213,TB_FS!B:B,0)))</f>
        <v>Telephone</v>
      </c>
      <c r="E213" s="203"/>
      <c r="F213" s="235"/>
      <c r="G213" s="236">
        <f>IFERROR(INDEX(TB_FS!D:D, MATCH(C213, TB_FS!B:B, 0)), 0)</f>
        <v>52201</v>
      </c>
      <c r="H213" s="236">
        <f>IFERROR(INDEX(TB_FS!E:E, MATCH(C213, TB_FS!B:B, 0)), 0)</f>
        <v>39976</v>
      </c>
      <c r="I213" s="431"/>
      <c r="J213" s="431"/>
      <c r="K213" s="431"/>
    </row>
    <row r="214" spans="2:11" ht="15" hidden="1" customHeight="1">
      <c r="B214" s="236">
        <f>IF(R_FS3[[#This Row],[ 4]]+R_FS3[[#This Row],[ 5]]=0,0,1)</f>
        <v>0</v>
      </c>
      <c r="C214" t="s">
        <v>582</v>
      </c>
      <c r="D214" s="431" t="str">
        <f>(INDEX(TB_FS!C:C,MATCH(C214,TB_FS!B:B,0)))</f>
        <v>Internet</v>
      </c>
      <c r="E214" s="203"/>
      <c r="F214" s="235"/>
      <c r="G214" s="236">
        <f>IFERROR(INDEX(TB_FS!D:D, MATCH(C214, TB_FS!B:B, 0)), 0)</f>
        <v>0</v>
      </c>
      <c r="H214" s="236">
        <f>IFERROR(INDEX(TB_FS!E:E, MATCH(C214, TB_FS!B:B, 0)), 0)</f>
        <v>0</v>
      </c>
      <c r="I214" s="431"/>
      <c r="J214" s="431"/>
      <c r="K214" s="431"/>
    </row>
    <row r="215" spans="2:11" ht="15" hidden="1" customHeight="1">
      <c r="B215" s="236">
        <f>IF(R_FS3[[#This Row],[ 4]]+R_FS3[[#This Row],[ 5]]=0,0,1)</f>
        <v>0</v>
      </c>
      <c r="C215" t="s">
        <v>583</v>
      </c>
      <c r="D215" s="431" t="str">
        <f>(INDEX(TB_FS!C:C,MATCH(C215,TB_FS!B:B,0)))</f>
        <v>Bad debt expense</v>
      </c>
      <c r="E215" s="203"/>
      <c r="F215" s="235"/>
      <c r="G215" s="236">
        <f>IFERROR(INDEX(TB_FS!D:D, MATCH(C215, TB_FS!B:B, 0)), 0)</f>
        <v>0</v>
      </c>
      <c r="H215" s="236">
        <f>IFERROR(INDEX(TB_FS!E:E, MATCH(C215, TB_FS!B:B, 0)), 0)</f>
        <v>0</v>
      </c>
      <c r="I215" s="431"/>
      <c r="J215" s="431"/>
      <c r="K215" s="431"/>
    </row>
    <row r="216" spans="2:11" ht="15" customHeight="1">
      <c r="B216" s="236">
        <f>IF(R_FS3[[#This Row],[ 4]]+R_FS3[[#This Row],[ 5]]=0,0,1)</f>
        <v>1</v>
      </c>
      <c r="C216" t="s">
        <v>571</v>
      </c>
      <c r="D216" s="431" t="str">
        <f>(INDEX(TB_FS!C:C,MATCH(C216,TB_FS!B:B,0)))</f>
        <v>Professional Fees</v>
      </c>
      <c r="E216" s="203"/>
      <c r="F216" s="235"/>
      <c r="G216" s="236">
        <f>IFERROR(INDEX(TB_FS!D:D, MATCH(C216, TB_FS!B:B, 0)), 0)</f>
        <v>30104</v>
      </c>
      <c r="H216" s="236">
        <f>IFERROR(INDEX(TB_FS!E:E, MATCH(C216, TB_FS!B:B, 0)), 0)</f>
        <v>18896</v>
      </c>
      <c r="I216" s="431"/>
      <c r="J216" s="431"/>
      <c r="K216" s="431"/>
    </row>
    <row r="217" spans="2:11" ht="15" customHeight="1">
      <c r="B217" s="236">
        <f>IF(R_FS3[[#This Row],[ 4]]+R_FS3[[#This Row],[ 5]]=0,0,1)</f>
        <v>1</v>
      </c>
      <c r="C217" s="288"/>
      <c r="D217" s="240"/>
      <c r="E217" s="298"/>
      <c r="F217" s="235"/>
      <c r="G217" s="239">
        <f>SUM(G211:G216)</f>
        <v>82305</v>
      </c>
      <c r="H217" s="239">
        <f>SUM(H211:H216)</f>
        <v>58872</v>
      </c>
      <c r="I217" s="431"/>
      <c r="J217" s="431"/>
      <c r="K217" s="431"/>
    </row>
    <row r="218" spans="2:11" ht="15" customHeight="1">
      <c r="B218" s="236" t="s">
        <v>0</v>
      </c>
      <c r="C218" s="288"/>
      <c r="D218" s="465" t="s">
        <v>246</v>
      </c>
      <c r="E218" s="246"/>
      <c r="F218" s="235"/>
      <c r="G218" s="234"/>
      <c r="H218" s="234"/>
    </row>
    <row r="219" spans="2:11" ht="15" customHeight="1">
      <c r="B219" s="236">
        <f>IF(R_FS3[[#This Row],[ 4]]+R_FS3[[#This Row],[ 5]]=0,0,1)</f>
        <v>1</v>
      </c>
      <c r="C219" s="112" t="s">
        <v>568</v>
      </c>
      <c r="D219" s="431" t="str">
        <f>(INDEX(TB_FS!C:C,MATCH(C219,TB_FS!B:B,0)))</f>
        <v xml:space="preserve">Wage </v>
      </c>
      <c r="E219" s="203"/>
      <c r="F219" s="235"/>
      <c r="G219" s="236">
        <f>IFERROR(INDEX(TB_FS!D:D, MATCH(C219, TB_FS!B:B, 0)), 0)</f>
        <v>406510</v>
      </c>
      <c r="H219" s="236">
        <f>IFERROR(INDEX(TB_FS!E:E, MATCH(C219, TB_FS!B:B, 0)), 0)</f>
        <v>794057</v>
      </c>
    </row>
    <row r="220" spans="2:11" ht="16.5" customHeight="1">
      <c r="B220" s="236">
        <f>IF(R_FS3[[#This Row],[ 4]]+R_FS3[[#This Row],[ 5]]=0,0,1)</f>
        <v>1</v>
      </c>
      <c r="C220" t="s">
        <v>569</v>
      </c>
      <c r="D220" s="431" t="str">
        <f>(INDEX(TB_FS!C:C,MATCH(C220,TB_FS!B:B,0)))</f>
        <v>Wage Costs</v>
      </c>
      <c r="E220" s="203"/>
      <c r="F220" s="235"/>
      <c r="G220" s="236">
        <f>IFERROR(INDEX(TB_FS!D:D, MATCH(C220, TB_FS!B:B, 0)), 0)</f>
        <v>32273</v>
      </c>
      <c r="H220" s="236">
        <f>IFERROR(INDEX(TB_FS!E:E, MATCH(C220, TB_FS!B:B, 0)), 0)</f>
        <v>28465</v>
      </c>
    </row>
    <row r="221" spans="2:11" ht="15" hidden="1" customHeight="1">
      <c r="B221" s="236">
        <f>IF(R_FS3[[#This Row],[ 4]]+R_FS3[[#This Row],[ 5]]=0,0,1)</f>
        <v>0</v>
      </c>
      <c r="C221" t="s">
        <v>570</v>
      </c>
      <c r="D221" s="431" t="str">
        <f>(INDEX(TB_FS!C:C,MATCH(C221,TB_FS!B:B,0)))</f>
        <v>WHSCC</v>
      </c>
      <c r="E221" s="203"/>
      <c r="F221" s="235"/>
      <c r="G221" s="236">
        <f>IFERROR(INDEX(TB_FS!D:D, MATCH(C221, TB_FS!B:B, 0)), 0)</f>
        <v>0</v>
      </c>
      <c r="H221" s="236">
        <f>IFERROR(INDEX(TB_FS!E:E, MATCH(C221, TB_FS!B:B, 0)), 0)</f>
        <v>0</v>
      </c>
    </row>
    <row r="222" spans="2:11" ht="15" hidden="1" customHeight="1">
      <c r="B222" s="236">
        <f>IF(R_FS3[[#This Row],[ 4]]+R_FS3[[#This Row],[ 5]]=0,0,1)</f>
        <v>0</v>
      </c>
      <c r="C222" s="41" t="s">
        <v>601</v>
      </c>
      <c r="D222" s="431" t="str">
        <f>(INDEX(TB_FS!C:C,MATCH(C222,TB_FS!B:B,0)))</f>
        <v>Payroll Expense - Directors</v>
      </c>
      <c r="E222" s="203"/>
      <c r="F222" s="235"/>
      <c r="G222" s="236">
        <f>IFERROR(INDEX(TB_FS!D:D, MATCH(C222, TB_FS!B:B, 0)), 0)</f>
        <v>0</v>
      </c>
      <c r="H222" s="236">
        <f>IFERROR(INDEX(TB_FS!E:E, MATCH(C222, TB_FS!B:B, 0)), 0)</f>
        <v>0</v>
      </c>
    </row>
    <row r="223" spans="2:11" ht="15" customHeight="1">
      <c r="B223" s="236">
        <f>IF(R_FS3[[#This Row],[ 4]]+R_FS3[[#This Row],[ 5]]=0,0,1)</f>
        <v>1</v>
      </c>
      <c r="C223" t="s">
        <v>602</v>
      </c>
      <c r="D223" s="431" t="str">
        <f>(INDEX(TB_FS!C:C,MATCH(C223,TB_FS!B:B,0)))</f>
        <v>Consult anting fees</v>
      </c>
      <c r="E223" s="203"/>
      <c r="F223" s="235"/>
      <c r="G223" s="236">
        <f>IFERROR(INDEX(TB_FS!D:D, MATCH(C223, TB_FS!B:B, 0)), 0)</f>
        <v>13851</v>
      </c>
      <c r="H223" s="236">
        <f>IFERROR(INDEX(TB_FS!E:E, MATCH(C223, TB_FS!B:B, 0)), 0)</f>
        <v>18604</v>
      </c>
    </row>
    <row r="224" spans="2:11" ht="15" customHeight="1">
      <c r="B224" s="236">
        <f>IF(R_FS3[[#This Row],[ 4]]+R_FS3[[#This Row],[ 5]]=0,0,1)</f>
        <v>1</v>
      </c>
      <c r="C224" t="s">
        <v>0</v>
      </c>
      <c r="D224" s="240"/>
      <c r="E224" s="298"/>
      <c r="F224" s="240"/>
      <c r="G224" s="239">
        <f>SUM(G219:G223)</f>
        <v>452634</v>
      </c>
      <c r="H224" s="239">
        <f>SUM(H219:H223)</f>
        <v>841126</v>
      </c>
    </row>
    <row r="225" spans="2:8" ht="15" customHeight="1">
      <c r="B225" s="236" t="s">
        <v>0</v>
      </c>
      <c r="C225" s="288"/>
      <c r="D225" s="465" t="s">
        <v>247</v>
      </c>
      <c r="E225" s="246"/>
      <c r="F225" s="235"/>
      <c r="G225" s="234"/>
      <c r="H225" s="234"/>
    </row>
    <row r="226" spans="2:8" ht="15" customHeight="1">
      <c r="B226" s="236">
        <f>IF(R_FS3[[#This Row],[ 4]]+R_FS3[[#This Row],[ 5]]=0,0,1)</f>
        <v>1</v>
      </c>
      <c r="C226" t="s">
        <v>576</v>
      </c>
      <c r="D226" s="431" t="str">
        <f>(INDEX(TB_FS!C:C,MATCH(C226,TB_FS!B:B,0)))</f>
        <v>Bank charges and interest</v>
      </c>
      <c r="E226" s="203"/>
      <c r="F226" s="235"/>
      <c r="G226" s="236">
        <f>IFERROR(INDEX(TB_FS!D:D, MATCH(C226, TB_FS!B:B, 0)), 0)</f>
        <v>8787</v>
      </c>
      <c r="H226" s="236">
        <f>IFERROR(INDEX(TB_FS!E:E, MATCH(C226, TB_FS!B:B, 0)), 0)</f>
        <v>7265</v>
      </c>
    </row>
    <row r="227" spans="2:8" ht="15" customHeight="1">
      <c r="B227" s="236">
        <f>IF(R_FS3[[#This Row],[ 4]]+R_FS3[[#This Row],[ 5]]=0,0,1)</f>
        <v>1</v>
      </c>
      <c r="C227" s="112" t="s">
        <v>1361</v>
      </c>
      <c r="D227" s="431" t="str">
        <f>(INDEX(TB_FS!C:C,MATCH(C227,TB_FS!B:B,0)))</f>
        <v xml:space="preserve"> Interac charges</v>
      </c>
      <c r="E227" s="203"/>
      <c r="F227" s="235"/>
      <c r="G227" s="236">
        <f>IFERROR(INDEX(TB_FS!D:D, MATCH(C227, TB_FS!B:B, 0)), 0)</f>
        <v>33577</v>
      </c>
      <c r="H227" s="236">
        <f>IFERROR(INDEX(TB_FS!E:E, MATCH(C227, TB_FS!B:B, 0)), 0)</f>
        <v>30069</v>
      </c>
    </row>
    <row r="228" spans="2:8" ht="15" customHeight="1">
      <c r="B228" s="236">
        <f>IF(R_FS3[[#This Row],[ 4]]+R_FS3[[#This Row],[ 5]]=0,0,1)</f>
        <v>1</v>
      </c>
      <c r="C228" t="s">
        <v>578</v>
      </c>
      <c r="D228" s="431" t="str">
        <f>(INDEX(TB_FS!C:C,MATCH(C228,TB_FS!B:B,0)))</f>
        <v>Interest Long Term Debt</v>
      </c>
      <c r="E228" s="203"/>
      <c r="F228" s="235"/>
      <c r="G228" s="236">
        <f>IFERROR(INDEX(TB_FS!D:D, MATCH(C228, TB_FS!B:B, 0)), 0)</f>
        <v>25894</v>
      </c>
      <c r="H228" s="236">
        <f>IFERROR(INDEX(TB_FS!E:E, MATCH(C228, TB_FS!B:B, 0)), 0)</f>
        <v>41956</v>
      </c>
    </row>
    <row r="229" spans="2:8" ht="15" customHeight="1">
      <c r="B229" s="236">
        <f>IF(R_FS3[[#This Row],[ 4]]+R_FS3[[#This Row],[ 5]]=0,0,1)</f>
        <v>1</v>
      </c>
      <c r="C229" s="288"/>
      <c r="D229" s="240"/>
      <c r="E229" s="298"/>
      <c r="F229" s="240"/>
      <c r="G229" s="239">
        <f>SUM(G226:G228)</f>
        <v>68258</v>
      </c>
      <c r="H229" s="239">
        <f>SUM(H226:H228)</f>
        <v>79290</v>
      </c>
    </row>
    <row r="230" spans="2:8" ht="15" customHeight="1">
      <c r="B230" s="236" t="s">
        <v>0</v>
      </c>
      <c r="C230" s="288"/>
      <c r="D230" s="465" t="s">
        <v>73</v>
      </c>
      <c r="E230" s="246"/>
      <c r="F230" s="235"/>
      <c r="G230" s="234"/>
      <c r="H230" s="234"/>
    </row>
    <row r="231" spans="2:8" ht="15" customHeight="1">
      <c r="B231" s="236">
        <f>IF(R_FS3[[#This Row],[ 4]]+R_FS3[[#This Row],[ 5]]=0,0,1)</f>
        <v>1</v>
      </c>
      <c r="C231" t="s">
        <v>573</v>
      </c>
      <c r="D231" s="431" t="str">
        <f>(INDEX(TB_FS!C:C,MATCH(C231,TB_FS!B:B,0)))</f>
        <v>Vehicle gas</v>
      </c>
      <c r="E231" s="203"/>
      <c r="F231" s="235"/>
      <c r="G231" s="236">
        <f>IFERROR(INDEX(TB_FS!D:D, MATCH(C231, TB_FS!B:B, 0)), 0)</f>
        <v>13549</v>
      </c>
      <c r="H231" s="236">
        <f>IFERROR(INDEX(TB_FS!E:E, MATCH(C231, TB_FS!B:B, 0)), 0)</f>
        <v>12264</v>
      </c>
    </row>
    <row r="232" spans="2:8" ht="15" customHeight="1">
      <c r="B232" s="236">
        <f>IF(R_FS3[[#This Row],[ 4]]+R_FS3[[#This Row],[ 5]]=0,0,1)</f>
        <v>1</v>
      </c>
      <c r="C232" t="s">
        <v>574</v>
      </c>
      <c r="D232" s="431" t="str">
        <f>(INDEX(TB_FS!C:C,MATCH(C232,TB_FS!B:B,0)))</f>
        <v>Vehicle other</v>
      </c>
      <c r="E232" s="203"/>
      <c r="F232" s="235"/>
      <c r="G232" s="236">
        <f>IFERROR(INDEX(TB_FS!D:D, MATCH(C232, TB_FS!B:B, 0)), 0)</f>
        <v>19063</v>
      </c>
      <c r="H232" s="236">
        <f>IFERROR(INDEX(TB_FS!E:E, MATCH(C232, TB_FS!B:B, 0)), 0)</f>
        <v>21723</v>
      </c>
    </row>
    <row r="233" spans="2:8" ht="15" customHeight="1">
      <c r="B233" s="236">
        <f>IF(R_FS3[[#This Row],[ 4]]+R_FS3[[#This Row],[ 5]]=0,0,1)</f>
        <v>1</v>
      </c>
      <c r="C233" t="s">
        <v>474</v>
      </c>
      <c r="D233" s="431" t="str">
        <f>(INDEX(TB_FS!C:C,MATCH(C233,TB_FS!B:B,0)))</f>
        <v>Vehicle insurance</v>
      </c>
      <c r="E233" s="203"/>
      <c r="F233" s="235"/>
      <c r="G233" s="236">
        <f>IFERROR(INDEX(TB_FS!D:D, MATCH(C233, TB_FS!B:B, 0)), 0)</f>
        <v>7527</v>
      </c>
      <c r="H233" s="236">
        <f>IFERROR(INDEX(TB_FS!E:E, MATCH(C233, TB_FS!B:B, 0)), 0)</f>
        <v>11894</v>
      </c>
    </row>
    <row r="234" spans="2:8" ht="15" customHeight="1">
      <c r="B234" s="236">
        <f>IF(R_FS3[[#This Row],[ 4]]+R_FS3[[#This Row],[ 5]]=0,0,1)</f>
        <v>1</v>
      </c>
      <c r="C234" s="337" t="s">
        <v>0</v>
      </c>
      <c r="D234" s="240"/>
      <c r="E234" s="298"/>
      <c r="F234" s="240"/>
      <c r="G234" s="239">
        <f>SUM(G231:G233)</f>
        <v>40139</v>
      </c>
      <c r="H234" s="239">
        <f>SUM(H231:H233)</f>
        <v>45881</v>
      </c>
    </row>
    <row r="235" spans="2:8" ht="17.45" customHeight="1">
      <c r="B235" s="236" t="s">
        <v>0</v>
      </c>
      <c r="C235" s="288" t="s">
        <v>0</v>
      </c>
      <c r="D235" s="465" t="s">
        <v>236</v>
      </c>
      <c r="E235" s="246"/>
      <c r="F235" s="235"/>
      <c r="G235" s="234"/>
      <c r="H235" s="234"/>
    </row>
    <row r="236" spans="2:8" ht="15" customHeight="1">
      <c r="B236" s="236">
        <f>IF(R_FS3[[#This Row],[ 4]]+R_FS3[[#This Row],[ 5]]=0,0,1)</f>
        <v>1</v>
      </c>
      <c r="C236" t="s">
        <v>471</v>
      </c>
      <c r="D236" s="431" t="str">
        <f>(INDEX(TB_FS!C:C,MATCH(C236,TB_FS!B:B,0)))</f>
        <v>Rent</v>
      </c>
      <c r="E236" s="203"/>
      <c r="F236" s="235"/>
      <c r="G236" s="236">
        <f>IFERROR(INDEX(TB_FS!D:D, MATCH(C236, TB_FS!B:B, 0)), 0)</f>
        <v>283395</v>
      </c>
      <c r="H236" s="236">
        <f>IFERROR(INDEX(TB_FS!E:E, MATCH(C236, TB_FS!B:B, 0)), 0)</f>
        <v>269846</v>
      </c>
    </row>
    <row r="237" spans="2:8" ht="15" customHeight="1">
      <c r="B237" s="236">
        <f>IF(R_FS3[[#This Row],[ 4]]+R_FS3[[#This Row],[ 5]]=0,0,1)</f>
        <v>1</v>
      </c>
      <c r="C237" t="s">
        <v>472</v>
      </c>
      <c r="D237" s="431" t="str">
        <f>(INDEX(TB_FS!C:C,MATCH(C237,TB_FS!B:B,0)))</f>
        <v>Municipal taxes</v>
      </c>
      <c r="E237" s="203"/>
      <c r="F237" s="235"/>
      <c r="G237" s="236">
        <f>IFERROR(INDEX(TB_FS!D:D, MATCH(C237, TB_FS!B:B, 0)), 0)</f>
        <v>24629</v>
      </c>
      <c r="H237" s="236">
        <f>IFERROR(INDEX(TB_FS!E:E, MATCH(C237, TB_FS!B:B, 0)), 0)</f>
        <v>23263</v>
      </c>
    </row>
    <row r="238" spans="2:8" ht="15" customHeight="1">
      <c r="B238" s="236">
        <f>IF(R_FS3[[#This Row],[ 4]]+R_FS3[[#This Row],[ 5]]=0,0,1)</f>
        <v>1</v>
      </c>
      <c r="C238" s="112" t="s">
        <v>1360</v>
      </c>
      <c r="D238" s="431" t="str">
        <f>(INDEX(TB_FS!C:C,MATCH(C238,TB_FS!B:B,0)))</f>
        <v>Security</v>
      </c>
      <c r="E238" s="203"/>
      <c r="F238" s="235"/>
      <c r="G238" s="236">
        <f>IFERROR(INDEX(TB_FS!D:D, MATCH(C238, TB_FS!B:B, 0)), 0)</f>
        <v>9417</v>
      </c>
      <c r="H238" s="236">
        <f>IFERROR(INDEX(TB_FS!E:E, MATCH(C238, TB_FS!B:B, 0)), 0)</f>
        <v>7949</v>
      </c>
    </row>
    <row r="239" spans="2:8" ht="15" customHeight="1">
      <c r="B239" s="236">
        <f>IF(R_FS3[[#This Row],[ 4]]+R_FS3[[#This Row],[ 5]]=0,0,1)</f>
        <v>1</v>
      </c>
      <c r="C239" s="112" t="s">
        <v>1359</v>
      </c>
      <c r="D239" s="431" t="str">
        <f>(INDEX(TB_FS!C:C,MATCH(C239,TB_FS!B:B,0)))</f>
        <v>Repairs and maintenance</v>
      </c>
      <c r="E239" s="203"/>
      <c r="F239" s="235"/>
      <c r="G239" s="236">
        <f>IFERROR(INDEX(TB_FS!D:D, MATCH(C239, TB_FS!B:B, 0)), 0)</f>
        <v>214226</v>
      </c>
      <c r="H239" s="236">
        <f>IFERROR(INDEX(TB_FS!E:E, MATCH(C239, TB_FS!B:B, 0)), 0)</f>
        <v>136667</v>
      </c>
    </row>
    <row r="240" spans="2:8" ht="15" customHeight="1">
      <c r="B240" s="236">
        <f>IF(R_FS3[[#This Row],[ 4]]+R_FS3[[#This Row],[ 5]]=0,0,1)</f>
        <v>1</v>
      </c>
      <c r="C240" t="s">
        <v>473</v>
      </c>
      <c r="D240" s="431" t="str">
        <f>(INDEX(TB_FS!C:C,MATCH(C240,TB_FS!B:B,0)))</f>
        <v>Light and heat</v>
      </c>
      <c r="E240" s="203"/>
      <c r="F240" s="235"/>
      <c r="G240" s="236">
        <f>IFERROR(INDEX(TB_FS!D:D, MATCH(C240, TB_FS!B:B, 0)), 0)</f>
        <v>86777</v>
      </c>
      <c r="H240" s="236">
        <f>IFERROR(INDEX(TB_FS!E:E, MATCH(C240, TB_FS!B:B, 0)), 0)</f>
        <v>91173</v>
      </c>
    </row>
    <row r="241" spans="2:8" ht="15" customHeight="1">
      <c r="B241" s="236">
        <f>IF(R_FS3[[#This Row],[ 4]]+R_FS3[[#This Row],[ 5]]=0,0,1)</f>
        <v>1</v>
      </c>
      <c r="C241" s="112" t="s">
        <v>639</v>
      </c>
      <c r="D241" s="431" t="str">
        <f>(INDEX(TB_FS!C:C,MATCH(C241,TB_FS!B:B,0)))</f>
        <v>Premises insurance</v>
      </c>
      <c r="E241" s="203"/>
      <c r="F241" s="235"/>
      <c r="G241" s="236">
        <f>IFERROR(INDEX(TB_FS!D:D, MATCH(C241, TB_FS!B:B, 0)), 0)</f>
        <v>31718</v>
      </c>
      <c r="H241" s="236">
        <f>IFERROR(INDEX(TB_FS!E:E, MATCH(C241, TB_FS!B:B, 0)), 0)</f>
        <v>5559</v>
      </c>
    </row>
    <row r="242" spans="2:8" ht="15" customHeight="1">
      <c r="B242" s="236">
        <f>IF(R_FS3[[#This Row],[ 4]]+R_FS3[[#This Row],[ 5]]=0,0,1)</f>
        <v>1</v>
      </c>
      <c r="C242" s="288"/>
      <c r="D242" s="240"/>
      <c r="E242" s="298"/>
      <c r="F242" s="240"/>
      <c r="G242" s="239">
        <f>SUM(G236:G241)</f>
        <v>650162</v>
      </c>
      <c r="H242" s="239">
        <f>SUM(H236:H241)</f>
        <v>534457</v>
      </c>
    </row>
    <row r="243" spans="2:8" ht="15" customHeight="1">
      <c r="B243" s="236" t="s">
        <v>0</v>
      </c>
      <c r="C243" s="288"/>
      <c r="D243" s="465" t="s">
        <v>1245</v>
      </c>
      <c r="E243" s="246" t="s">
        <v>0</v>
      </c>
      <c r="F243" s="235"/>
      <c r="G243" s="234"/>
      <c r="H243" s="234"/>
    </row>
    <row r="244" spans="2:8" ht="17.45" customHeight="1">
      <c r="B244" s="236">
        <f>IF(R_FS3[[#This Row],[ 4]]+R_FS3[[#This Row],[ 5]]=0,0,1)</f>
        <v>1</v>
      </c>
      <c r="C244" s="112" t="s">
        <v>1363</v>
      </c>
      <c r="D244" s="431" t="str">
        <f>(INDEX(TB_FS!C:C,MATCH(C244,TB_FS!B:B,0)))</f>
        <v xml:space="preserve"> Kitchen Supplies</v>
      </c>
      <c r="E244" s="203"/>
      <c r="F244" s="235"/>
      <c r="G244" s="236">
        <f>IFERROR(INDEX(TB_FS!D:D, MATCH(C244, TB_FS!B:B, 0)), 0)</f>
        <v>5697</v>
      </c>
      <c r="H244" s="236">
        <f>IFERROR(INDEX(TB_FS!E:E, MATCH(C244, TB_FS!B:B, 0)), 0)</f>
        <v>5771</v>
      </c>
    </row>
    <row r="245" spans="2:8" ht="15" customHeight="1">
      <c r="B245" s="236">
        <f>IF(R_FS3[[#This Row],[ 4]]+R_FS3[[#This Row],[ 5]]=0,0,1)</f>
        <v>1</v>
      </c>
      <c r="C245" s="112" t="s">
        <v>1247</v>
      </c>
      <c r="D245" s="431" t="str">
        <f>(INDEX(TB_FS!C:C,MATCH(C245,TB_FS!B:B,0)))</f>
        <v xml:space="preserve"> Uniforms</v>
      </c>
      <c r="E245" s="203"/>
      <c r="F245" s="235"/>
      <c r="G245" s="236">
        <f>IFERROR(INDEX(TB_FS!D:D, MATCH(C245, TB_FS!B:B, 0)), 0)</f>
        <v>5864</v>
      </c>
      <c r="H245" s="236">
        <f>IFERROR(INDEX(TB_FS!E:E, MATCH(C245, TB_FS!B:B, 0)), 0)</f>
        <v>4976</v>
      </c>
    </row>
    <row r="246" spans="2:8" ht="15" customHeight="1">
      <c r="B246" s="236">
        <f>IF(R_FS3[[#This Row],[ 4]]+R_FS3[[#This Row],[ 5]]=0,0,1)</f>
        <v>1</v>
      </c>
      <c r="C246" s="112" t="s">
        <v>579</v>
      </c>
      <c r="D246" s="431" t="str">
        <f>(INDEX(TB_FS!C:C,MATCH(C246,TB_FS!B:B,0)))</f>
        <v>Store supplies</v>
      </c>
      <c r="E246" s="203"/>
      <c r="F246" s="235"/>
      <c r="G246" s="236">
        <f>IFERROR(INDEX(TB_FS!D:D, MATCH(C246, TB_FS!B:B, 0)), 0)</f>
        <v>145055</v>
      </c>
      <c r="H246" s="236">
        <f>IFERROR(INDEX(TB_FS!E:E, MATCH(C246, TB_FS!B:B, 0)), 0)</f>
        <v>99967</v>
      </c>
    </row>
    <row r="247" spans="2:8" ht="15" customHeight="1">
      <c r="B247" s="236">
        <f>IF(R_FS3[[#This Row],[ 4]]+R_FS3[[#This Row],[ 5]]=0,0,1)</f>
        <v>1</v>
      </c>
      <c r="C247" s="288"/>
      <c r="D247" s="240"/>
      <c r="E247" s="298" t="s">
        <v>0</v>
      </c>
      <c r="F247" s="240"/>
      <c r="G247" s="239">
        <f>SUM(G244:G246)</f>
        <v>156616</v>
      </c>
      <c r="H247" s="239">
        <f>SUM(H244:H246)</f>
        <v>110714</v>
      </c>
    </row>
    <row r="248" spans="2:8" ht="15" customHeight="1">
      <c r="B248" s="236" t="s">
        <v>0</v>
      </c>
      <c r="C248" s="288"/>
      <c r="D248" s="465" t="s">
        <v>249</v>
      </c>
      <c r="E248" s="246"/>
      <c r="F248" s="235"/>
      <c r="G248" s="234"/>
      <c r="H248" s="234"/>
    </row>
    <row r="249" spans="2:8" ht="15" customHeight="1">
      <c r="B249" s="236">
        <f>IF(R_FS3[[#This Row],[ 4]]+R_FS3[[#This Row],[ 5]]=0,0,1)</f>
        <v>1</v>
      </c>
      <c r="C249" s="112" t="s">
        <v>1364</v>
      </c>
      <c r="D249" s="431" t="str">
        <f>(INDEX(TB_FS!C:C,MATCH(C249,TB_FS!B:B,0)))</f>
        <v>Franchise fees</v>
      </c>
      <c r="E249" s="203"/>
      <c r="F249" s="235"/>
      <c r="G249" s="236">
        <f>IFERROR(INDEX(TB_FS!D:D, MATCH(C249, TB_FS!B:B, 0)), 0)</f>
        <v>810542</v>
      </c>
      <c r="H249" s="236">
        <f>IFERROR(INDEX(TB_FS!E:E, MATCH(C249, TB_FS!B:B, 0)), 0)</f>
        <v>743163</v>
      </c>
    </row>
    <row r="250" spans="2:8" ht="17.45" customHeight="1">
      <c r="B250" s="236">
        <f>IF(R_FS3[[#This Row],[ 4]]+R_FS3[[#This Row],[ 5]]=0,0,1)</f>
        <v>1</v>
      </c>
      <c r="C250" s="112" t="s">
        <v>584</v>
      </c>
      <c r="D250" s="431" t="str">
        <f>(INDEX(TB_FS!C:C,MATCH(C250,TB_FS!B:B,0)))</f>
        <v>Advertising</v>
      </c>
      <c r="E250" s="203"/>
      <c r="F250" s="235"/>
      <c r="G250" s="236">
        <f>IFERROR(INDEX(TB_FS!D:D, MATCH(C250, TB_FS!B:B, 0)), 0)</f>
        <v>105801</v>
      </c>
      <c r="H250" s="236">
        <f>IFERROR(INDEX(TB_FS!E:E, MATCH(C250, TB_FS!B:B, 0)), 0)</f>
        <v>116136</v>
      </c>
    </row>
    <row r="251" spans="2:8" ht="17.45" customHeight="1">
      <c r="B251" s="236">
        <f>IF(R_FS3[[#This Row],[ 4]]+R_FS3[[#This Row],[ 5]]=0,0,1)</f>
        <v>1</v>
      </c>
      <c r="C251" t="s">
        <v>585</v>
      </c>
      <c r="D251" s="431" t="str">
        <f>(INDEX(TB_FS!C:C,MATCH(C251,TB_FS!B:B,0)))</f>
        <v>Meals and entertainment</v>
      </c>
      <c r="E251" s="203"/>
      <c r="F251" s="235"/>
      <c r="G251" s="236">
        <f>IFERROR(INDEX(TB_FS!D:D, MATCH(C251, TB_FS!B:B, 0)), 0)</f>
        <v>21450</v>
      </c>
      <c r="H251" s="236">
        <f>IFERROR(INDEX(TB_FS!E:E, MATCH(C251, TB_FS!B:B, 0)), 0)</f>
        <v>15614</v>
      </c>
    </row>
    <row r="252" spans="2:8" ht="15" customHeight="1">
      <c r="B252" s="236">
        <f>IF(R_FS3[[#This Row],[ 4]]+R_FS3[[#This Row],[ 5]]=0,0,1)</f>
        <v>1</v>
      </c>
      <c r="C252" t="s">
        <v>586</v>
      </c>
      <c r="D252" s="431" t="str">
        <f>(INDEX(TB_FS!C:C,MATCH(C252,TB_FS!B:B,0)))</f>
        <v>Donations</v>
      </c>
      <c r="E252" s="203"/>
      <c r="F252" s="235"/>
      <c r="G252" s="236">
        <f>IFERROR(INDEX(TB_FS!D:D, MATCH(C252, TB_FS!B:B, 0)), 0)</f>
        <v>4802</v>
      </c>
      <c r="H252" s="236">
        <f>IFERROR(INDEX(TB_FS!E:E, MATCH(C252, TB_FS!B:B, 0)), 0)</f>
        <v>2730</v>
      </c>
    </row>
    <row r="253" spans="2:8" ht="15" customHeight="1">
      <c r="B253" s="236">
        <f>IF(R_FS3[[#This Row],[ 4]]+R_FS3[[#This Row],[ 5]]=0,0,1)</f>
        <v>1</v>
      </c>
      <c r="C253" s="288"/>
      <c r="D253" s="240"/>
      <c r="E253" s="298"/>
      <c r="F253" s="240"/>
      <c r="G253" s="239">
        <f>SUM(G249:G252)</f>
        <v>942595</v>
      </c>
      <c r="H253" s="239">
        <f>SUM(H249:H252)</f>
        <v>877643</v>
      </c>
    </row>
    <row r="254" spans="2:8" ht="15" customHeight="1">
      <c r="B254" s="236" t="s">
        <v>0</v>
      </c>
      <c r="C254" s="288"/>
      <c r="D254" s="235"/>
      <c r="E254" s="246" t="s">
        <v>0</v>
      </c>
      <c r="F254" s="235"/>
      <c r="G254" s="234" t="s">
        <v>0</v>
      </c>
      <c r="H254" s="234" t="s">
        <v>0</v>
      </c>
    </row>
    <row r="255" spans="2:8" ht="15" customHeight="1" thickBot="1">
      <c r="B255" s="236">
        <f>IF(R_FS3[[#This Row],[ 4]]+R_FS3[[#This Row],[ 5]]=0,0,1)</f>
        <v>1</v>
      </c>
      <c r="C255" s="288"/>
      <c r="D255" s="463" t="s">
        <v>250</v>
      </c>
      <c r="E255" s="464"/>
      <c r="F255" s="463"/>
      <c r="G255" s="490">
        <f>G208+G217+G224+G229+G234+G242+G247+G253</f>
        <v>2558763</v>
      </c>
      <c r="H255" s="490">
        <f>H208+H217+H224+H229+H234+H242+H247+H253</f>
        <v>2741844</v>
      </c>
    </row>
    <row r="256" spans="2:8" ht="17.45" customHeight="1" thickTop="1">
      <c r="B256" s="236" t="s">
        <v>0</v>
      </c>
      <c r="C256" s="288"/>
      <c r="D256" s="235"/>
      <c r="E256" s="246"/>
      <c r="F256" s="235"/>
      <c r="G256" s="236"/>
      <c r="H256" s="236"/>
    </row>
    <row r="257" spans="2:11" ht="15" customHeight="1">
      <c r="B257" s="236" t="s">
        <v>0</v>
      </c>
      <c r="C257" s="288"/>
      <c r="D257" s="235"/>
      <c r="E257" s="246"/>
      <c r="F257" s="235"/>
      <c r="G257" s="502"/>
      <c r="H257" s="504"/>
    </row>
    <row r="258" spans="2:11" ht="15" customHeight="1">
      <c r="B258" s="236" t="s">
        <v>0</v>
      </c>
      <c r="C258" s="288"/>
      <c r="D258" s="252" t="s">
        <v>0</v>
      </c>
      <c r="E258" s="243"/>
      <c r="F258" s="243"/>
      <c r="G258" s="493"/>
      <c r="H258" s="494" t="str">
        <f>UPPER(COA!$B$2)</f>
        <v>ANONYMOUS COMPANY</v>
      </c>
    </row>
    <row r="259" spans="2:11" ht="15" customHeight="1">
      <c r="B259" s="236" t="s">
        <v>0</v>
      </c>
      <c r="C259" s="288"/>
      <c r="D259" s="333" t="s">
        <v>0</v>
      </c>
      <c r="E259" s="334"/>
      <c r="F259" s="238"/>
      <c r="G259" s="502"/>
      <c r="H259" s="495" t="s">
        <v>542</v>
      </c>
      <c r="K259" s="262" t="s">
        <v>678</v>
      </c>
    </row>
    <row r="260" spans="2:11" ht="15" customHeight="1" thickBot="1">
      <c r="B260" s="236" t="s">
        <v>0</v>
      </c>
      <c r="C260" s="288"/>
      <c r="D260" s="448" t="s">
        <v>0</v>
      </c>
      <c r="E260" s="448"/>
      <c r="F260" s="448"/>
      <c r="G260" s="496"/>
      <c r="H260" s="497" t="str">
        <f>"For the year ended "&amp;(TEXT(COA!$B$4,"MMMM DD, YYYY"))</f>
        <v>For the year ended December 31, 2025</v>
      </c>
    </row>
    <row r="261" spans="2:11" ht="15" customHeight="1" thickTop="1">
      <c r="B261" s="236" t="s">
        <v>0</v>
      </c>
      <c r="C261" s="288"/>
      <c r="D261" s="235"/>
      <c r="E261" s="246"/>
      <c r="F261" s="235"/>
      <c r="G261" s="445">
        <f>YEAR(COA!$B$4)</f>
        <v>2025</v>
      </c>
      <c r="H261" s="446">
        <f>R_FS3[[#This Row],[ 4]]-1</f>
        <v>2024</v>
      </c>
    </row>
    <row r="262" spans="2:11" ht="17.45" customHeight="1">
      <c r="B262" s="236" t="s">
        <v>0</v>
      </c>
      <c r="C262" s="288"/>
      <c r="D262" s="237"/>
      <c r="E262" s="297"/>
      <c r="F262" s="237"/>
      <c r="G262" s="358" t="s">
        <v>260</v>
      </c>
      <c r="H262" s="359" t="s">
        <v>260</v>
      </c>
    </row>
    <row r="263" spans="2:11" ht="15" customHeight="1">
      <c r="B263" s="236" t="s">
        <v>0</v>
      </c>
      <c r="C263" s="288"/>
      <c r="D263" s="235"/>
      <c r="E263" s="246"/>
      <c r="F263" s="235"/>
      <c r="G263" s="268" t="s">
        <v>0</v>
      </c>
      <c r="H263" s="295" t="s">
        <v>0</v>
      </c>
    </row>
    <row r="264" spans="2:11" ht="15" customHeight="1">
      <c r="B264" s="236" t="s">
        <v>0</v>
      </c>
      <c r="C264" s="338"/>
      <c r="D264" s="477" t="s">
        <v>101</v>
      </c>
      <c r="E264" s="271"/>
      <c r="F264" s="269"/>
      <c r="G264" s="270"/>
      <c r="H264" s="270"/>
    </row>
    <row r="265" spans="2:11" ht="15" hidden="1" customHeight="1">
      <c r="B265" s="236">
        <f>IF(R_FS3[[#This Row],[ 4]]+R_FS3[[#This Row],[ 5]]=0,0,1)</f>
        <v>0</v>
      </c>
      <c r="C265" t="s">
        <v>561</v>
      </c>
      <c r="D265" s="431" t="str">
        <f>(INDEX(TB_FS!C:C,MATCH(C265,TB_FS!B:B,0)))</f>
        <v>Canadian investment income</v>
      </c>
      <c r="E265" s="203"/>
      <c r="F265" s="235"/>
      <c r="G265" s="236">
        <f>IFERROR(ABS(INDEX(TB_FS!D:D, MATCH(C265, TB_FS!B:B, 0))), "")</f>
        <v>0</v>
      </c>
      <c r="H265" s="236">
        <f>IFERROR(ABS(INDEX(TB_FS!E:E, MATCH(C265, TB_FS!B:B, 0))), "")</f>
        <v>0</v>
      </c>
    </row>
    <row r="266" spans="2:11" ht="15" customHeight="1">
      <c r="B266" s="236">
        <f>IF(R_FS3[[#This Row],[ 4]]+R_FS3[[#This Row],[ 5]]=0,0,1)</f>
        <v>1</v>
      </c>
      <c r="C266" t="s">
        <v>562</v>
      </c>
      <c r="D266" s="431" t="str">
        <f>(INDEX(TB_FS!C:C,MATCH(C266,TB_FS!B:B,0)))</f>
        <v>Canadian dividend income</v>
      </c>
      <c r="E266" s="203"/>
      <c r="F266" s="235"/>
      <c r="G266" s="236">
        <f>IFERROR(ABS(INDEX(TB_FS!D:D, MATCH(C266, TB_FS!B:B, 0))), "")</f>
        <v>422</v>
      </c>
      <c r="H266" s="236">
        <f>IFERROR(ABS(INDEX(TB_FS!E:E, MATCH(C266, TB_FS!B:B, 0))), "")</f>
        <v>0</v>
      </c>
    </row>
    <row r="267" spans="2:11" ht="17.45" hidden="1" customHeight="1">
      <c r="B267" s="236">
        <f>IF(R_FS3[[#This Row],[ 4]]+R_FS3[[#This Row],[ 5]]=0,0,1)</f>
        <v>0</v>
      </c>
      <c r="C267" t="s">
        <v>563</v>
      </c>
      <c r="D267" s="431" t="str">
        <f>(INDEX(TB_FS!C:C,MATCH(C267,TB_FS!B:B,0)))</f>
        <v>Foreign investment income</v>
      </c>
      <c r="E267" s="203"/>
      <c r="F267" s="235"/>
      <c r="G267" s="236">
        <f>IFERROR(ABS(INDEX(TB_FS!D:D, MATCH(C267, TB_FS!B:B, 0))), "")</f>
        <v>0</v>
      </c>
      <c r="H267" s="236">
        <f>IFERROR(ABS(INDEX(TB_FS!E:E, MATCH(C267, TB_FS!B:B, 0))), "")</f>
        <v>0</v>
      </c>
    </row>
    <row r="268" spans="2:11" ht="15" customHeight="1">
      <c r="B268" s="236">
        <f>IF(R_FS3[[#This Row],[ 4]]+R_FS3[[#This Row],[ 5]]=0,0,1)</f>
        <v>1</v>
      </c>
      <c r="C268" t="s">
        <v>564</v>
      </c>
      <c r="D268" s="431" t="str">
        <f>(INDEX(TB_FS!C:C,MATCH(C268,TB_FS!B:B,0)))</f>
        <v>Capital gains on disposition of shares</v>
      </c>
      <c r="E268" s="203"/>
      <c r="F268" s="235"/>
      <c r="G268" s="236">
        <f>IFERROR(ABS(INDEX(TB_FS!D:D, MATCH(C268, TB_FS!B:B, 0))), "")*-1</f>
        <v>-2405</v>
      </c>
      <c r="H268" s="236">
        <f>IFERROR(ABS(INDEX(TB_FS!E:E, MATCH(C268, TB_FS!B:B, 0))), "")</f>
        <v>0</v>
      </c>
    </row>
    <row r="269" spans="2:11" ht="15" customHeight="1">
      <c r="B269" s="236">
        <f>IF(R_FS3[[#This Row],[ 4]]+R_FS3[[#This Row],[ 5]]=0,0,1)</f>
        <v>1</v>
      </c>
      <c r="C269" t="s">
        <v>565</v>
      </c>
      <c r="D269" s="431" t="s">
        <v>672</v>
      </c>
      <c r="E269" s="203"/>
      <c r="F269" s="235"/>
      <c r="G269" s="511">
        <f>ABS(IF(G298&lt;0.01,G298,0))</f>
        <v>18615</v>
      </c>
      <c r="H269" s="511">
        <f t="shared" ref="H269" si="27">ABS(IF(H298&lt;0.01,H298,0))</f>
        <v>0</v>
      </c>
    </row>
    <row r="270" spans="2:11" ht="15" hidden="1" customHeight="1">
      <c r="B270" s="236">
        <f>IF(R_FS3[[#This Row],[ 4]]+R_FS3[[#This Row],[ 5]]=0,0,1)</f>
        <v>0</v>
      </c>
      <c r="C270" s="112" t="s">
        <v>1473</v>
      </c>
      <c r="D270" s="431" t="s">
        <v>673</v>
      </c>
      <c r="E270" s="203"/>
      <c r="F270" s="235"/>
      <c r="G270" s="511">
        <f t="shared" ref="G270:H270" si="28">(IF(G298&gt;0.01,G298,0))*-1</f>
        <v>0</v>
      </c>
      <c r="H270" s="511">
        <f t="shared" si="28"/>
        <v>0</v>
      </c>
    </row>
    <row r="271" spans="2:11" ht="15" customHeight="1">
      <c r="B271" s="236" t="s">
        <v>0</v>
      </c>
      <c r="C271"/>
      <c r="D271" s="431"/>
      <c r="E271" s="203" t="s">
        <v>0</v>
      </c>
      <c r="F271" s="235"/>
      <c r="G271" s="492">
        <f>SUBTOTAL(109,G265:G270)</f>
        <v>16632</v>
      </c>
      <c r="H271" s="492">
        <f>SUBTOTAL(109,H265:H270)</f>
        <v>0</v>
      </c>
    </row>
    <row r="272" spans="2:11" ht="15" hidden="1" customHeight="1">
      <c r="B272" s="236">
        <f>IF(R_FS3[[#This Row],[ 4]]+R_FS3[[#This Row],[ 5]]=0,0,1)</f>
        <v>0</v>
      </c>
      <c r="C272" t="s">
        <v>566</v>
      </c>
      <c r="D272" s="431" t="str">
        <f>(INDEX(TB_FS!C:C,MATCH(C272,TB_FS!B:B,0)))</f>
        <v>Investment Management Fees</v>
      </c>
      <c r="E272" s="203"/>
      <c r="F272" s="235"/>
      <c r="G272" s="236">
        <f>IFERROR(ABS(INDEX(TB_FS!D:D, MATCH(C272, TB_FS!B:B, 0))), "")</f>
        <v>0</v>
      </c>
      <c r="H272" s="236">
        <f>IFERROR(ABS(INDEX(TB_FS!E:E, MATCH(D272, TB_FS!C:C, 0))), "")</f>
        <v>0</v>
      </c>
    </row>
    <row r="273" spans="2:8" ht="17.45" customHeight="1" thickBot="1">
      <c r="B273" s="236">
        <f>IF(R_FS3[[#This Row],[ 4]]+R_FS3[[#This Row],[ 5]]=0,0,1)</f>
        <v>1</v>
      </c>
      <c r="C273" s="289"/>
      <c r="D273" s="475"/>
      <c r="E273" s="464"/>
      <c r="F273" s="476"/>
      <c r="G273" s="505">
        <f>G271-G272</f>
        <v>16632</v>
      </c>
      <c r="H273" s="505">
        <f>H271-H272</f>
        <v>0</v>
      </c>
    </row>
    <row r="274" spans="2:8" ht="15" customHeight="1" thickTop="1">
      <c r="B274" s="235"/>
      <c r="C274" s="288"/>
      <c r="D274" s="235"/>
      <c r="E274" s="246"/>
      <c r="F274" s="235"/>
      <c r="G274" s="234"/>
      <c r="H274" s="234"/>
    </row>
    <row r="275" spans="2:8" ht="15" customHeight="1">
      <c r="B275" s="235"/>
      <c r="C275" s="288"/>
      <c r="D275" s="235"/>
      <c r="E275" s="246"/>
      <c r="F275" s="235"/>
      <c r="G275" s="234"/>
      <c r="H275" s="234"/>
    </row>
    <row r="276" spans="2:8" ht="17.45" customHeight="1"/>
    <row r="277" spans="2:8" ht="15" customHeight="1">
      <c r="D277" s="252" t="s">
        <v>0</v>
      </c>
      <c r="E277" s="243"/>
      <c r="F277" s="243"/>
      <c r="H277" s="493"/>
    </row>
    <row r="278" spans="2:8" ht="15" customHeight="1">
      <c r="D278" s="333" t="s">
        <v>0</v>
      </c>
      <c r="E278" s="267"/>
      <c r="G278" s="502"/>
      <c r="H278" s="509" t="s">
        <v>645</v>
      </c>
    </row>
    <row r="279" spans="2:8" ht="15" customHeight="1" thickBot="1">
      <c r="D279" s="448" t="s">
        <v>0</v>
      </c>
      <c r="E279" s="448"/>
      <c r="F279" s="448"/>
      <c r="G279" s="496"/>
      <c r="H279" s="497" t="str">
        <f>"For the year ended "&amp;(TEXT(COA!$B$4,"MMMM DD, YYYY"))</f>
        <v>For the year ended December 31, 2025</v>
      </c>
    </row>
    <row r="280" spans="2:8" ht="15" customHeight="1" thickTop="1">
      <c r="D280" s="457"/>
      <c r="E280" s="334"/>
      <c r="F280" s="238"/>
      <c r="G280" s="445" t="str">
        <f>(COA!J6)</f>
        <v>CY</v>
      </c>
      <c r="H280" s="445" t="str">
        <f>(COA!K6)</f>
        <v>PY1</v>
      </c>
    </row>
    <row r="281" spans="2:8" ht="15" customHeight="1">
      <c r="D281" s="237"/>
      <c r="E281" s="297"/>
      <c r="F281" s="237"/>
      <c r="G281" s="358" t="s">
        <v>260</v>
      </c>
      <c r="H281" s="359" t="s">
        <v>260</v>
      </c>
    </row>
    <row r="282" spans="2:8" ht="15" customHeight="1">
      <c r="D282" s="235"/>
      <c r="E282" s="246"/>
      <c r="F282" s="235"/>
      <c r="G282" s="503" t="s">
        <v>0</v>
      </c>
      <c r="H282" s="503" t="s">
        <v>0</v>
      </c>
    </row>
    <row r="283" spans="2:8" ht="15" customHeight="1">
      <c r="D283" s="240"/>
      <c r="E283" s="298" t="s">
        <v>0</v>
      </c>
      <c r="F283" s="235"/>
      <c r="G283" s="234"/>
      <c r="H283" s="234"/>
    </row>
    <row r="284" spans="2:8" ht="15" customHeight="1">
      <c r="C284" s="507" t="s">
        <v>547</v>
      </c>
      <c r="D284" s="431" t="str">
        <f>(INDEX(TB_FS!C:C,MATCH(C284,TB_FS!B:B,0)))</f>
        <v>Cash</v>
      </c>
      <c r="E284" s="203"/>
      <c r="F284" s="235"/>
      <c r="G284" s="236">
        <f>IFERROR(INDEX(TB_FS!D:D, MATCH(C284, TB_FS!B:B, 0)), 0)</f>
        <v>77184</v>
      </c>
      <c r="H284" s="236">
        <f>IFERROR(INDEX(TB_FS!E:E, MATCH(C284, TB_FS!B:B, 0)), 0)</f>
        <v>509493</v>
      </c>
    </row>
    <row r="285" spans="2:8" ht="15" customHeight="1">
      <c r="C285" s="507"/>
      <c r="D285" s="431"/>
      <c r="E285" s="203"/>
      <c r="F285" s="235"/>
      <c r="G285" s="236"/>
      <c r="H285" s="236"/>
    </row>
    <row r="286" spans="2:8" ht="15" customHeight="1">
      <c r="C286" s="507" t="s">
        <v>502</v>
      </c>
      <c r="D286" s="431" t="str">
        <f>(INDEX(TB_FS!C:C,MATCH(C286,TB_FS!B:B,0)))</f>
        <v>Acct Rec - Shareholder</v>
      </c>
      <c r="E286" s="203"/>
      <c r="F286" s="235"/>
      <c r="G286" s="236">
        <f>IFERROR(INDEX(TB_FS!D:D, MATCH($C$286, TB_FS!$B:$B, 0)), 0)</f>
        <v>0</v>
      </c>
      <c r="H286" s="236">
        <f>IFERROR(INDEX(TB_FS!E:E, MATCH($C$286, TB_FS!$B:$B, 0)), 0)</f>
        <v>0</v>
      </c>
    </row>
    <row r="287" spans="2:8" ht="15" customHeight="1">
      <c r="C287" s="507" t="s">
        <v>550</v>
      </c>
      <c r="D287" s="431" t="str">
        <f>(INDEX(TB_FS!C:C,MATCH(C287,TB_FS!B:B,0)))</f>
        <v>Due to shareholder</v>
      </c>
      <c r="E287" s="203"/>
      <c r="F287" s="235"/>
      <c r="G287" s="236">
        <f>IFERROR(INDEX(TB_FS!D:D, MATCH($C$287, TB_FS!$B:$B, 0)), 0)</f>
        <v>-164955</v>
      </c>
      <c r="H287" s="236">
        <f>IFERROR(INDEX(TB_FS!E:E, MATCH($C$287, TB_FS!$B:$B, 0)), 0)</f>
        <v>-289463</v>
      </c>
    </row>
    <row r="288" spans="2:8" ht="15" customHeight="1" thickBot="1">
      <c r="C288" s="507"/>
      <c r="D288" s="431"/>
      <c r="E288" s="203"/>
      <c r="F288" s="235"/>
      <c r="G288" s="508">
        <f>G287+G286</f>
        <v>-164955</v>
      </c>
      <c r="H288" s="508">
        <f>H287+H286</f>
        <v>-289463</v>
      </c>
    </row>
    <row r="289" spans="3:8" ht="15" customHeight="1" thickTop="1">
      <c r="C289" s="507"/>
      <c r="D289" s="431"/>
      <c r="E289" s="203"/>
      <c r="F289" s="235"/>
      <c r="G289" s="236"/>
      <c r="H289" s="236"/>
    </row>
    <row r="290" spans="3:8" ht="15" customHeight="1">
      <c r="C290" s="507" t="s">
        <v>635</v>
      </c>
      <c r="D290" s="431" t="str">
        <f>(INDEX(TB_FS!C:C,MATCH(C290,TB_FS!B:B,0)))</f>
        <v>HST payable</v>
      </c>
      <c r="E290" s="203"/>
      <c r="F290" s="235"/>
      <c r="G290" s="236">
        <f>IFERROR(INDEX(TB_FS!D:D, MATCH($C$290, TB_FS!$B:$B, 0)), 0)</f>
        <v>-58772</v>
      </c>
      <c r="H290" s="236">
        <f>IFERROR(INDEX(TB_FS!E:E, MATCH($C$290, TB_FS!$B:$B, 0)), 0)</f>
        <v>-32216</v>
      </c>
    </row>
    <row r="291" spans="3:8" ht="15" customHeight="1">
      <c r="C291" s="507"/>
      <c r="D291" s="431"/>
      <c r="E291" s="203"/>
      <c r="F291" s="235"/>
      <c r="G291" s="236"/>
      <c r="H291" s="236"/>
    </row>
    <row r="292" spans="3:8" ht="17.45" customHeight="1">
      <c r="C292" s="507" t="s">
        <v>555</v>
      </c>
      <c r="D292" s="431" t="str">
        <f>(INDEX(TB_FS!C:C,MATCH(C292,TB_FS!B:B,0)))</f>
        <v>Corporate Income Tax</v>
      </c>
      <c r="E292" s="203"/>
      <c r="F292" s="235"/>
      <c r="G292" s="236">
        <f>IFERROR(INDEX(TB_FS!D:D, MATCH($C$292, TB_FS!$B:$B, 0)), 0)</f>
        <v>-4180</v>
      </c>
      <c r="H292" s="236">
        <f>IFERROR(INDEX(TB_FS!E:E, MATCH($C$292, TB_FS!$B:$B, 0)), 0)</f>
        <v>-23061</v>
      </c>
    </row>
    <row r="293" spans="3:8" ht="17.45" customHeight="1">
      <c r="C293" s="507"/>
      <c r="D293" s="431"/>
      <c r="E293" s="203"/>
      <c r="F293" s="235"/>
      <c r="G293" s="236"/>
      <c r="H293" s="236"/>
    </row>
    <row r="294" spans="3:8" ht="17.45" customHeight="1">
      <c r="C294" s="507" t="s">
        <v>527</v>
      </c>
      <c r="D294" s="431" t="str">
        <f>(INDEX(TB_FS!C:C,MATCH(C294,TB_FS!B:B,0)))</f>
        <v>ABC Company</v>
      </c>
      <c r="E294" s="203"/>
      <c r="F294" s="235"/>
      <c r="G294" s="236">
        <f>IFERROR(INDEX(TB_FS!D:D, MATCH($C$294, TB_FS!$B:$B, 0)), 0)</f>
        <v>0</v>
      </c>
      <c r="H294" s="236">
        <f>IFERROR(INDEX(TB_FS!E:E, MATCH($C$294, TB_FS!$B:$B, 0)), 0)</f>
        <v>-63166</v>
      </c>
    </row>
    <row r="295" spans="3:8" ht="17.45" customHeight="1">
      <c r="C295" s="507"/>
      <c r="D295" s="431"/>
      <c r="E295" s="203"/>
      <c r="F295" s="235"/>
      <c r="G295" s="236"/>
      <c r="H295" s="236"/>
    </row>
    <row r="296" spans="3:8" ht="17.45" customHeight="1">
      <c r="C296" s="507" t="s">
        <v>556</v>
      </c>
      <c r="D296" s="431" t="str">
        <f>(INDEX(TB_FS!C:C,MATCH(C296,TB_FS!B:B,0)))</f>
        <v>Related parties Current</v>
      </c>
      <c r="E296" s="203"/>
      <c r="F296" s="235"/>
      <c r="G296" s="236">
        <f>IFERROR(INDEX(TB_FS!D:D, MATCH($C$296, TB_FS!$B:$B, 0)), 0)</f>
        <v>318967</v>
      </c>
      <c r="H296" s="236">
        <f>IFERROR(INDEX(TB_FS!E:E, MATCH($C$296, TB_FS!$B:$B, 0)), 0)</f>
        <v>95144</v>
      </c>
    </row>
    <row r="297" spans="3:8" ht="15" customHeight="1">
      <c r="D297" s="465" t="s">
        <v>0</v>
      </c>
      <c r="E297" s="246"/>
      <c r="F297" s="235"/>
      <c r="G297" s="234"/>
      <c r="H297" s="234"/>
    </row>
    <row r="298" spans="3:8" ht="15" customHeight="1">
      <c r="C298" s="507" t="s">
        <v>565</v>
      </c>
      <c r="D298" s="431" t="str">
        <f>(INDEX(TB_FS!C:C,MATCH(C298,TB_FS!B:B,0)))</f>
        <v>Unrealized gain/loss on securities</v>
      </c>
      <c r="E298" s="203"/>
      <c r="F298" s="235"/>
      <c r="G298" s="236">
        <f>IFERROR(INDEX(TB_FS!D:D, MATCH($C$298, TB_FS!$B:$B, 0)), 0)</f>
        <v>-18615</v>
      </c>
      <c r="H298" s="236">
        <f>IFERROR(INDEX(TB_FS!E:E, MATCH($C$298, TB_FS!$B:$B, 0)), 0)</f>
        <v>0</v>
      </c>
    </row>
    <row r="299" spans="3:8" ht="15" customHeight="1">
      <c r="C299" s="507" t="s">
        <v>564</v>
      </c>
      <c r="D299" s="431" t="str">
        <f>(INDEX(TB_FS!C:C,MATCH(C299,TB_FS!B:B,0)))</f>
        <v>Capital gains on disposition of shares</v>
      </c>
      <c r="E299" s="203"/>
      <c r="F299" s="235"/>
      <c r="G299" s="236">
        <f>IFERROR(INDEX(TB_FS!D:D, MATCH($C$299, TB_FS!$B:$B, 0)), 0)</f>
        <v>2405</v>
      </c>
      <c r="H299" s="236">
        <f>IFERROR(INDEX(TB_FS!E:E, MATCH($C$298, TB_FS!$B:$B, 0)), 0)</f>
        <v>0</v>
      </c>
    </row>
    <row r="301" spans="3:8" ht="15" customHeight="1">
      <c r="D301" s="1274" t="s">
        <v>1663</v>
      </c>
      <c r="E301" s="1275"/>
      <c r="F301" s="1275"/>
      <c r="G301" s="1275"/>
      <c r="H301" s="1276"/>
    </row>
    <row r="302" spans="3:8" ht="15" customHeight="1">
      <c r="D302" s="1277" t="s">
        <v>1664</v>
      </c>
      <c r="G302" s="556">
        <f>G98</f>
        <v>1407162</v>
      </c>
      <c r="H302" s="1278">
        <f>H98</f>
        <v>1683378</v>
      </c>
    </row>
    <row r="303" spans="3:8" ht="15" customHeight="1">
      <c r="D303" s="1277" t="s">
        <v>1665</v>
      </c>
      <c r="G303" s="556">
        <f>G126</f>
        <v>1407162</v>
      </c>
      <c r="H303" s="1278">
        <f>H126</f>
        <v>1683378</v>
      </c>
    </row>
    <row r="304" spans="3:8" ht="15" customHeight="1" thickBot="1">
      <c r="D304" s="1277" t="s">
        <v>1666</v>
      </c>
      <c r="G304" s="1272">
        <f>G302-G303</f>
        <v>0</v>
      </c>
      <c r="H304" s="1279">
        <f>H302-H303</f>
        <v>0</v>
      </c>
    </row>
    <row r="305" spans="4:8" ht="15" customHeight="1" thickTop="1">
      <c r="D305" s="1277"/>
      <c r="H305" s="1280"/>
    </row>
    <row r="306" spans="4:8" ht="15" customHeight="1" thickBot="1">
      <c r="D306" s="1277" t="s">
        <v>1667</v>
      </c>
      <c r="G306" s="1273">
        <v>-3</v>
      </c>
      <c r="H306" s="1281">
        <v>-3</v>
      </c>
    </row>
    <row r="307" spans="4:8" ht="15" customHeight="1" thickTop="1">
      <c r="D307" s="1277"/>
      <c r="H307" s="1280"/>
    </row>
    <row r="308" spans="4:8" ht="15" customHeight="1">
      <c r="D308" s="1282"/>
      <c r="E308" s="265"/>
      <c r="F308" s="265"/>
      <c r="G308" s="265"/>
      <c r="H308" s="1283"/>
    </row>
    <row r="334" spans="1:1" ht="15" customHeight="1">
      <c r="A334" s="262" t="s">
        <v>0</v>
      </c>
    </row>
  </sheetData>
  <mergeCells count="1">
    <mergeCell ref="D2:G2"/>
  </mergeCells>
  <phoneticPr fontId="98" type="noConversion"/>
  <dataValidations count="1">
    <dataValidation type="list" allowBlank="1" showInputMessage="1" showErrorMessage="1" sqref="B202:B206" xr:uid="{02B3F812-99CB-4E4C-A866-A74B277D61B0}">
      <formula1>"coa!b7:b100"</formula1>
    </dataValidation>
  </dataValidations>
  <hyperlinks>
    <hyperlink ref="A1" location="'TABLE OF CONTENTS'!A1" display="INDEX" xr:uid="{7E239A3C-57D6-4E1F-8BAC-79552AA1CD86}"/>
  </hyperlinks>
  <pageMargins left="1.5748031496062993" right="0.98425196850393704" top="0.59055118110236227" bottom="0.19685039370078741" header="0.11811023622047245" footer="0.31496062992125984"/>
  <pageSetup scale="87" fitToHeight="0" orientation="portrait" r:id="rId1"/>
  <rowBreaks count="6" manualBreakCount="6">
    <brk id="9" min="3" max="9" man="1"/>
    <brk id="23" min="3" max="9" man="1"/>
    <brk id="74" min="3" max="9" man="1"/>
    <brk id="128" min="3" max="9" man="1"/>
    <brk id="197" max="16383" man="1"/>
    <brk id="256" min="3" max="7" man="1"/>
  </rowBreaks>
  <tableParts count="1">
    <tablePart r:id="rId2"/>
  </tableParts>
  <extLst>
    <ext xmlns:x14="http://schemas.microsoft.com/office/spreadsheetml/2009/9/main" uri="{CCE6A557-97BC-4b89-ADB6-D9C93CAAB3DF}">
      <x14:dataValidations xmlns:xm="http://schemas.microsoft.com/office/excel/2006/main" count="1">
        <x14:dataValidation type="list" errorStyle="warning" allowBlank="1" showInputMessage="1" showErrorMessage="1" xr:uid="{43C75313-3001-442F-A98B-E44B84E134DE}">
          <x14:formula1>
            <xm:f>COA!$H$8:$H$169</xm:f>
          </x14:formula1>
          <xm:sqref>C171:C313 C35:C145 C147:C169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C460C-7C94-4496-A958-79E647C97230}">
  <sheetPr codeName="Sheet3">
    <tabColor rgb="FF92D050"/>
    <pageSetUpPr fitToPage="1"/>
  </sheetPr>
  <dimension ref="A1:T332"/>
  <sheetViews>
    <sheetView showGridLines="0" topLeftCell="A281" zoomScaleNormal="100" workbookViewId="0"/>
  </sheetViews>
  <sheetFormatPr defaultColWidth="9.140625" defaultRowHeight="15" customHeight="1"/>
  <cols>
    <col min="1" max="1" width="9.140625" style="262"/>
    <col min="2" max="2" width="11.140625" style="262" customWidth="1"/>
    <col min="3" max="3" width="11.140625" style="287" customWidth="1"/>
    <col min="4" max="4" width="38.85546875" style="262" customWidth="1"/>
    <col min="5" max="6" width="11.140625" style="262" hidden="1" customWidth="1"/>
    <col min="7" max="7" width="11.140625" style="262" customWidth="1"/>
    <col min="8" max="8" width="14.7109375" style="262" customWidth="1"/>
    <col min="9" max="10" width="11.140625" style="262" customWidth="1"/>
    <col min="11" max="13" width="12.140625" style="262" customWidth="1"/>
    <col min="14" max="14" width="10.7109375" style="262" bestFit="1" customWidth="1"/>
    <col min="15" max="15" width="9.7109375" style="262" bestFit="1" customWidth="1"/>
    <col min="16" max="16" width="11.28515625" style="262" customWidth="1"/>
    <col min="17" max="16384" width="9.140625" style="262"/>
  </cols>
  <sheetData>
    <row r="1" spans="1:20" ht="15" customHeight="1">
      <c r="A1" s="59" t="s">
        <v>1650</v>
      </c>
      <c r="B1" s="259"/>
      <c r="C1" s="284" t="s">
        <v>1089</v>
      </c>
      <c r="D1" s="259"/>
      <c r="E1" s="260"/>
      <c r="F1" s="261"/>
      <c r="G1" s="261"/>
      <c r="H1" s="261"/>
      <c r="I1" s="261"/>
      <c r="J1" s="259"/>
    </row>
    <row r="2" spans="1:20" ht="26.25" customHeight="1">
      <c r="A2" s="259"/>
      <c r="B2" s="259"/>
      <c r="C2" s="285"/>
      <c r="D2" s="1287"/>
      <c r="E2" s="1287"/>
      <c r="F2" s="1287"/>
      <c r="G2" s="1287"/>
      <c r="H2" s="1287"/>
      <c r="I2" s="1287"/>
    </row>
    <row r="3" spans="1:20" ht="19.5" customHeight="1">
      <c r="A3" s="262" t="s">
        <v>0</v>
      </c>
      <c r="B3" s="263" t="s">
        <v>270</v>
      </c>
      <c r="C3" s="286" t="s">
        <v>671</v>
      </c>
      <c r="D3" s="263" t="s">
        <v>10</v>
      </c>
      <c r="E3" s="264" t="s">
        <v>269</v>
      </c>
      <c r="F3" s="264" t="s">
        <v>268</v>
      </c>
      <c r="G3" s="263" t="s">
        <v>52</v>
      </c>
      <c r="H3" s="263" t="s">
        <v>631</v>
      </c>
      <c r="I3" s="263" t="s">
        <v>99</v>
      </c>
      <c r="J3" s="263" t="s">
        <v>100</v>
      </c>
      <c r="K3" s="263" t="s">
        <v>130</v>
      </c>
      <c r="L3" s="263" t="s">
        <v>131</v>
      </c>
      <c r="M3" s="263" t="s">
        <v>132</v>
      </c>
      <c r="N3" s="263" t="s">
        <v>133</v>
      </c>
      <c r="O3" s="262" t="s">
        <v>45</v>
      </c>
      <c r="P3" s="262" t="s">
        <v>98</v>
      </c>
      <c r="Q3" s="262" t="s">
        <v>44</v>
      </c>
      <c r="R3" s="262" t="s">
        <v>185</v>
      </c>
      <c r="S3" s="262" t="s">
        <v>75</v>
      </c>
      <c r="T3" s="262" t="s">
        <v>1477</v>
      </c>
    </row>
    <row r="4" spans="1:20" ht="19.5" customHeight="1">
      <c r="B4" s="329"/>
      <c r="C4" s="330"/>
      <c r="D4" s="329"/>
      <c r="E4" s="264"/>
      <c r="F4" s="264"/>
      <c r="G4" s="264" t="s">
        <v>0</v>
      </c>
      <c r="H4" s="329"/>
      <c r="I4" s="329"/>
      <c r="J4" s="331"/>
      <c r="K4" s="329"/>
      <c r="L4" s="329"/>
      <c r="M4" s="329"/>
      <c r="N4" s="329"/>
    </row>
    <row r="5" spans="1:20" ht="19.5" customHeight="1">
      <c r="B5" s="291"/>
      <c r="C5" s="292"/>
      <c r="E5" s="243"/>
      <c r="F5" s="243"/>
      <c r="G5" s="243"/>
      <c r="H5" s="252"/>
      <c r="I5" s="243"/>
      <c r="J5" s="252"/>
      <c r="K5" s="264"/>
      <c r="L5" s="264"/>
      <c r="M5" s="264"/>
      <c r="N5" s="264"/>
    </row>
    <row r="6" spans="1:20" ht="19.5" customHeight="1">
      <c r="B6" s="291" t="s">
        <v>0</v>
      </c>
      <c r="C6" s="292"/>
      <c r="E6" s="243"/>
      <c r="F6" s="243"/>
      <c r="G6" s="243" t="s">
        <v>0</v>
      </c>
      <c r="H6" s="252" t="s">
        <v>0</v>
      </c>
      <c r="I6" s="243" t="s">
        <v>0</v>
      </c>
      <c r="J6" s="252" t="s">
        <v>0</v>
      </c>
      <c r="K6" s="264"/>
      <c r="L6" s="264"/>
      <c r="M6" s="264"/>
      <c r="N6" s="264"/>
    </row>
    <row r="7" spans="1:20" ht="180" customHeight="1">
      <c r="B7" s="291" t="s">
        <v>0</v>
      </c>
      <c r="C7" s="292"/>
      <c r="D7" s="439" t="s">
        <v>0</v>
      </c>
      <c r="E7" s="441"/>
      <c r="F7" s="441"/>
      <c r="G7" s="441"/>
      <c r="H7" s="439"/>
      <c r="I7" s="441"/>
      <c r="J7" s="556"/>
      <c r="K7" s="264"/>
      <c r="L7" s="264"/>
      <c r="M7" s="442" t="str">
        <f>UPPER(COA!$B$2)</f>
        <v>ANONYMOUS COMPANY</v>
      </c>
      <c r="N7" s="264"/>
    </row>
    <row r="8" spans="1:20" ht="19.5" customHeight="1">
      <c r="B8" s="291"/>
      <c r="C8" s="292"/>
      <c r="D8" s="267"/>
      <c r="E8" s="243"/>
      <c r="F8" s="243"/>
      <c r="G8" s="243"/>
      <c r="H8" s="252"/>
      <c r="I8" s="443"/>
      <c r="J8" s="556"/>
      <c r="K8" s="264"/>
      <c r="L8" s="264"/>
      <c r="M8" s="459" t="str">
        <f>(TEXT(COA!$B$4,"MMMM DD, YYYY"))</f>
        <v>December 31, 2025</v>
      </c>
      <c r="N8" s="264"/>
    </row>
    <row r="9" spans="1:20" ht="19.5" customHeight="1">
      <c r="B9" s="291"/>
      <c r="C9" s="292"/>
      <c r="D9" s="264"/>
      <c r="E9" s="291"/>
      <c r="F9" s="291"/>
      <c r="G9" s="291"/>
      <c r="H9" s="264"/>
      <c r="I9" s="291"/>
      <c r="J9" s="294"/>
      <c r="K9" s="264"/>
      <c r="L9" s="264"/>
      <c r="M9" s="264"/>
      <c r="N9" s="264"/>
    </row>
    <row r="10" spans="1:20" ht="19.5" customHeight="1">
      <c r="B10" s="291"/>
      <c r="C10" s="292"/>
      <c r="D10" s="252"/>
      <c r="E10" s="243"/>
      <c r="F10" s="243"/>
      <c r="G10" s="243"/>
      <c r="H10" s="252"/>
      <c r="I10" s="556"/>
      <c r="J10" s="556"/>
      <c r="K10" s="264"/>
      <c r="L10" s="264"/>
      <c r="M10" s="442" t="str">
        <f>UPPER(COA!$B$2)</f>
        <v>ANONYMOUS COMPANY</v>
      </c>
    </row>
    <row r="11" spans="1:20" ht="18" customHeight="1">
      <c r="B11" s="291" t="s">
        <v>0</v>
      </c>
      <c r="C11" s="292"/>
      <c r="D11" s="243" t="s">
        <v>0</v>
      </c>
      <c r="E11" s="243"/>
      <c r="F11" s="243"/>
      <c r="G11" s="243"/>
      <c r="H11" s="252"/>
      <c r="I11" s="556"/>
      <c r="J11" s="556"/>
      <c r="K11" s="264"/>
      <c r="L11" s="264"/>
      <c r="M11" s="440" t="s">
        <v>537</v>
      </c>
    </row>
    <row r="12" spans="1:20" ht="15" customHeight="1" thickBot="1">
      <c r="B12" s="291"/>
      <c r="C12" s="292"/>
      <c r="D12" s="448"/>
      <c r="E12" s="460"/>
      <c r="F12" s="460"/>
      <c r="G12" s="460"/>
      <c r="H12" s="461"/>
      <c r="I12" s="757"/>
      <c r="J12" s="757"/>
      <c r="K12" s="758"/>
      <c r="L12" s="758"/>
      <c r="M12" s="462" t="str">
        <f>"For the year ended "&amp;(TEXT(COA!$B$4,"MMMM DD, YYYY"))</f>
        <v>For the year ended December 31, 2025</v>
      </c>
    </row>
    <row r="13" spans="1:20" ht="15" customHeight="1" thickTop="1">
      <c r="B13" s="291" t="s">
        <v>0</v>
      </c>
      <c r="C13" s="291" t="s">
        <v>0</v>
      </c>
      <c r="D13" s="291" t="s">
        <v>0</v>
      </c>
      <c r="E13" s="291"/>
      <c r="F13" s="291"/>
      <c r="G13" s="291" t="s">
        <v>0</v>
      </c>
      <c r="H13" s="291" t="s">
        <v>0</v>
      </c>
      <c r="I13" s="291" t="s">
        <v>0</v>
      </c>
      <c r="J13" s="291" t="s">
        <v>0</v>
      </c>
      <c r="K13" s="264"/>
      <c r="L13" s="264"/>
      <c r="M13" s="264"/>
      <c r="N13" s="264"/>
    </row>
    <row r="14" spans="1:20" ht="34.5" customHeight="1">
      <c r="B14" s="291"/>
      <c r="C14" s="292"/>
      <c r="D14" s="293" t="s">
        <v>0</v>
      </c>
      <c r="E14" s="291"/>
      <c r="F14" s="291"/>
      <c r="G14" s="291"/>
      <c r="H14" s="264"/>
      <c r="I14" s="291"/>
      <c r="J14" s="294"/>
      <c r="K14" s="264"/>
      <c r="L14" s="264"/>
      <c r="M14" s="264"/>
      <c r="N14" s="264"/>
    </row>
    <row r="15" spans="1:20" ht="17.25" customHeight="1">
      <c r="B15" s="291"/>
      <c r="C15" s="292"/>
      <c r="D15" s="293"/>
      <c r="E15" s="291"/>
      <c r="F15" s="291"/>
      <c r="G15" s="291"/>
      <c r="H15" s="264"/>
      <c r="I15" s="291"/>
      <c r="J15" s="294"/>
      <c r="K15" s="264"/>
      <c r="L15" s="264"/>
      <c r="M15" s="264"/>
      <c r="N15" s="264"/>
    </row>
    <row r="16" spans="1:20" ht="17.45" customHeight="1">
      <c r="B16" s="291"/>
      <c r="C16" s="292"/>
      <c r="D16" s="293" t="s">
        <v>630</v>
      </c>
      <c r="E16" s="291"/>
      <c r="F16" s="291"/>
      <c r="G16" s="291"/>
      <c r="H16" s="264"/>
      <c r="I16" s="291"/>
      <c r="J16" s="294"/>
      <c r="K16" s="264"/>
      <c r="L16" s="264"/>
      <c r="M16" s="264"/>
      <c r="N16" s="264"/>
    </row>
    <row r="17" spans="2:14" ht="17.45" customHeight="1">
      <c r="B17" s="291"/>
      <c r="C17" s="292"/>
      <c r="D17" s="293" t="s">
        <v>632</v>
      </c>
      <c r="E17" s="291"/>
      <c r="F17" s="291"/>
      <c r="G17" s="291"/>
      <c r="H17" s="264"/>
      <c r="I17" s="291"/>
      <c r="J17" s="294"/>
      <c r="K17" s="264"/>
      <c r="L17" s="264"/>
      <c r="M17" s="264"/>
      <c r="N17" s="264"/>
    </row>
    <row r="18" spans="2:14" ht="17.45" customHeight="1">
      <c r="B18" s="291"/>
      <c r="C18" s="292"/>
      <c r="D18" s="293" t="s">
        <v>295</v>
      </c>
      <c r="E18" s="291"/>
      <c r="F18" s="291"/>
      <c r="G18" s="291"/>
      <c r="H18" s="264"/>
      <c r="I18" s="291"/>
      <c r="J18" s="294"/>
      <c r="K18" s="264"/>
      <c r="L18" s="264"/>
      <c r="M18" s="264"/>
      <c r="N18" s="264"/>
    </row>
    <row r="19" spans="2:14" ht="17.45" customHeight="1">
      <c r="B19" s="291" t="s">
        <v>0</v>
      </c>
      <c r="C19" s="292"/>
      <c r="D19" s="293" t="s">
        <v>296</v>
      </c>
      <c r="E19" s="291"/>
      <c r="F19" s="291"/>
      <c r="G19" s="291"/>
      <c r="H19" s="264"/>
      <c r="I19" s="291"/>
      <c r="J19" s="294"/>
      <c r="K19" s="264"/>
      <c r="L19" s="264"/>
      <c r="M19" s="264"/>
      <c r="N19" s="264"/>
    </row>
    <row r="20" spans="2:14" ht="17.45" customHeight="1">
      <c r="B20" s="291" t="s">
        <v>0</v>
      </c>
      <c r="C20" s="292"/>
      <c r="D20" s="293" t="s">
        <v>297</v>
      </c>
      <c r="E20" s="291"/>
      <c r="F20" s="291"/>
      <c r="G20" s="291"/>
      <c r="H20" s="264"/>
      <c r="I20" s="291"/>
      <c r="J20" s="294"/>
      <c r="K20" s="264"/>
      <c r="L20" s="264"/>
      <c r="M20" s="264"/>
      <c r="N20" s="264"/>
    </row>
    <row r="21" spans="2:14" ht="17.45" customHeight="1">
      <c r="B21" s="291"/>
      <c r="C21" s="292"/>
      <c r="D21" s="293" t="s">
        <v>298</v>
      </c>
      <c r="E21" s="291"/>
      <c r="F21" s="291"/>
      <c r="G21" s="291"/>
      <c r="H21" s="264"/>
      <c r="I21" s="291"/>
      <c r="J21" s="294"/>
      <c r="K21" s="264"/>
      <c r="L21" s="264"/>
      <c r="M21" s="264"/>
      <c r="N21" s="264"/>
    </row>
    <row r="22" spans="2:14" ht="17.45" customHeight="1">
      <c r="B22" s="291" t="s">
        <v>0</v>
      </c>
      <c r="C22" s="292"/>
      <c r="D22" s="293" t="s">
        <v>299</v>
      </c>
      <c r="E22" s="291"/>
      <c r="F22" s="291"/>
      <c r="G22" s="291"/>
      <c r="H22" s="264"/>
      <c r="I22" s="291" t="s">
        <v>0</v>
      </c>
      <c r="J22" s="294" t="s">
        <v>0</v>
      </c>
      <c r="K22" s="264"/>
      <c r="L22" s="264"/>
      <c r="M22" s="264"/>
      <c r="N22" s="264"/>
    </row>
    <row r="23" spans="2:14" ht="17.45" customHeight="1">
      <c r="B23" s="291"/>
      <c r="C23" s="292"/>
      <c r="D23" s="293" t="s">
        <v>0</v>
      </c>
      <c r="E23" s="291"/>
      <c r="F23" s="291"/>
      <c r="G23" s="291"/>
      <c r="H23" s="264"/>
      <c r="I23" s="291"/>
      <c r="J23" s="294"/>
      <c r="K23" s="264"/>
      <c r="L23" s="264"/>
      <c r="M23" s="264"/>
      <c r="N23" s="264"/>
    </row>
    <row r="24" spans="2:14" ht="15" customHeight="1">
      <c r="B24" s="329"/>
      <c r="C24" s="330"/>
      <c r="D24" s="329"/>
      <c r="E24" s="264"/>
      <c r="F24" s="264"/>
      <c r="G24" s="264"/>
      <c r="H24" s="329"/>
      <c r="I24" s="329"/>
      <c r="J24" s="331"/>
      <c r="K24" s="329"/>
      <c r="L24" s="329"/>
      <c r="M24" s="329"/>
      <c r="N24" s="329"/>
    </row>
    <row r="25" spans="2:14" ht="15" customHeight="1">
      <c r="B25" s="329" t="s">
        <v>0</v>
      </c>
      <c r="C25" s="330"/>
      <c r="D25" s="243" t="s">
        <v>0</v>
      </c>
      <c r="E25" s="243"/>
      <c r="F25" s="243"/>
      <c r="G25" s="243" t="s">
        <v>0</v>
      </c>
      <c r="H25" s="243"/>
      <c r="I25" s="243"/>
      <c r="J25" s="252"/>
      <c r="K25" s="329"/>
      <c r="L25" s="329"/>
      <c r="M25" s="329"/>
      <c r="N25" s="329"/>
    </row>
    <row r="26" spans="2:14" ht="15" customHeight="1">
      <c r="B26" s="329" t="s">
        <v>0</v>
      </c>
      <c r="C26" s="330"/>
      <c r="D26" s="252" t="s">
        <v>0</v>
      </c>
      <c r="E26" s="243"/>
      <c r="F26" s="243"/>
      <c r="G26" s="243"/>
      <c r="H26" s="243"/>
      <c r="I26" s="243"/>
      <c r="J26" s="556"/>
      <c r="K26" s="329"/>
      <c r="L26" s="329"/>
      <c r="M26" s="442" t="str">
        <f>UPPER(COA!$B$2)</f>
        <v>ANONYMOUS COMPANY</v>
      </c>
    </row>
    <row r="27" spans="2:14" ht="15" customHeight="1">
      <c r="B27" s="329"/>
      <c r="C27" s="330"/>
      <c r="D27" s="252" t="s">
        <v>0</v>
      </c>
      <c r="E27" s="252"/>
      <c r="F27" s="252"/>
      <c r="G27" s="243"/>
      <c r="H27" s="243"/>
      <c r="I27" s="243"/>
      <c r="J27" s="556"/>
      <c r="K27" s="329"/>
      <c r="L27" s="329"/>
      <c r="M27" s="438" t="s">
        <v>97</v>
      </c>
    </row>
    <row r="28" spans="2:14" ht="15" customHeight="1" thickBot="1">
      <c r="B28" s="329"/>
      <c r="C28" s="330"/>
      <c r="D28" s="448" t="s">
        <v>0</v>
      </c>
      <c r="E28" s="448"/>
      <c r="F28" s="448"/>
      <c r="G28" s="449"/>
      <c r="H28" s="449"/>
      <c r="I28" s="449"/>
      <c r="J28" s="449"/>
      <c r="K28" s="450"/>
      <c r="L28" s="450"/>
      <c r="M28" s="462" t="str">
        <f>"For the year ended "&amp;(TEXT(COA!$B$4,"MMMM DD, YYYY"))</f>
        <v>For the year ended December 31, 2025</v>
      </c>
    </row>
    <row r="29" spans="2:14" ht="15" customHeight="1" thickTop="1">
      <c r="B29" s="259"/>
      <c r="D29" s="444"/>
      <c r="E29" s="444"/>
      <c r="F29" s="444"/>
      <c r="G29" s="444"/>
      <c r="H29" s="444"/>
      <c r="I29" s="445">
        <f>YEAR(COA!$B$4)</f>
        <v>2025</v>
      </c>
      <c r="J29" s="446">
        <f>R_FS[[#This Row],[CY]]-1</f>
        <v>2024</v>
      </c>
      <c r="K29" s="447">
        <f>R_FS[[#This Row],[PY]]-1</f>
        <v>2023</v>
      </c>
      <c r="L29" s="447">
        <f>R_FS[[#This Row],[PY2]]-1</f>
        <v>2022</v>
      </c>
      <c r="M29" s="447">
        <f>R_FS[[#This Row],[PY3]]-1</f>
        <v>2021</v>
      </c>
      <c r="N29" s="447">
        <f>R_FS[[#This Row],[PY4]]-1</f>
        <v>2020</v>
      </c>
    </row>
    <row r="30" spans="2:14" ht="15" customHeight="1">
      <c r="B30" s="246">
        <f>IF(I29+J29=0,0,1)</f>
        <v>1</v>
      </c>
      <c r="D30" s="265"/>
      <c r="E30" s="265"/>
      <c r="F30" s="265"/>
      <c r="G30" s="265"/>
      <c r="H30" s="265"/>
      <c r="I30" s="358" t="s">
        <v>260</v>
      </c>
      <c r="J30" s="359" t="s">
        <v>260</v>
      </c>
      <c r="K30" s="358" t="s">
        <v>260</v>
      </c>
      <c r="L30" s="358" t="s">
        <v>260</v>
      </c>
      <c r="M30" s="358" t="s">
        <v>260</v>
      </c>
      <c r="N30" s="358" t="s">
        <v>260</v>
      </c>
    </row>
    <row r="31" spans="2:14" ht="15" hidden="1" customHeight="1">
      <c r="B31" s="246">
        <f>IF(I31+J31=0,0,1)</f>
        <v>0</v>
      </c>
      <c r="C31" s="240" t="s">
        <v>671</v>
      </c>
      <c r="D31" s="245"/>
      <c r="E31" s="236"/>
      <c r="F31" s="236"/>
      <c r="G31" s="236" t="s">
        <v>0</v>
      </c>
      <c r="H31" s="235"/>
      <c r="I31" s="242"/>
      <c r="J31" s="242"/>
    </row>
    <row r="32" spans="2:14" ht="15" customHeight="1">
      <c r="B32" s="246">
        <f>IF(I32+J32=0,0,1)</f>
        <v>1</v>
      </c>
      <c r="C32" t="s">
        <v>560</v>
      </c>
      <c r="D32" s="468" t="str">
        <f>UPPER(INDEX(TB_FS!C:C,MATCH(C32,TB_FS!B:B,0)))</f>
        <v>SALES</v>
      </c>
      <c r="E32" s="241">
        <f ca="1">SUMIF(COA!$F$6:$I$173,C32,COA!$I$6:$I$173)</f>
        <v>-6059602.4800000004</v>
      </c>
      <c r="F32" s="241" t="e">
        <f>SUMIF(COA!$F$6:$I$173,C32,COA!#REF!)</f>
        <v>#REF!</v>
      </c>
      <c r="G32" s="203"/>
      <c r="H32" s="235"/>
      <c r="I32" s="258">
        <f>IFERROR(ABS(INDEX(TB_FS!D:D, MATCH(C32, TB_FS!B:B, 0))), "")</f>
        <v>6261053</v>
      </c>
      <c r="J32" s="258">
        <f>IFERROR(ABS(INDEX(TB_FS!E:E, MATCH(C32, TB_FS!B:B, 0))), "")</f>
        <v>6059602</v>
      </c>
      <c r="K32" s="258">
        <f>IFERROR(ABS(INDEX(TB_FS!F:F, MATCH(C32, TB_FS!B:B, 0))), "")</f>
        <v>5668403</v>
      </c>
      <c r="L32" s="258">
        <f>IFERROR(ABS(INDEX(TB_FS!G:G, MATCH(C32, TB_FS!B:B, 0))), "")</f>
        <v>5598212</v>
      </c>
      <c r="M32" s="258">
        <f>IFERROR(ABS(INDEX(TB_FS!H:H, MATCH(C32, TB_FS!B:B, 0))), "")</f>
        <v>4331407</v>
      </c>
      <c r="N32" s="236">
        <f>IFERROR(ABS(INDEX(TB_FS!I:I, MATCH(D32, TB_FS!C:C, 0))), "")</f>
        <v>0</v>
      </c>
    </row>
    <row r="33" spans="2:14" ht="15" customHeight="1">
      <c r="B33" s="246" t="s">
        <v>0</v>
      </c>
      <c r="C33" s="3" t="s">
        <v>0</v>
      </c>
      <c r="D33" s="468" t="s">
        <v>1371</v>
      </c>
      <c r="E33" s="241">
        <f ca="1">SUMIF(COA!$F$6:$I$173,C33,COA!$I$6:$I$173)</f>
        <v>0</v>
      </c>
      <c r="F33" s="241" t="e">
        <f>SUMIF(COA!$F$6:$I$173,C33,COA!#REF!)</f>
        <v>#REF!</v>
      </c>
      <c r="G33" s="203"/>
      <c r="H33" s="235"/>
      <c r="I33" s="556"/>
      <c r="J33" s="556"/>
    </row>
    <row r="34" spans="2:14" ht="15" customHeight="1">
      <c r="B34" s="246">
        <f>IF(I34+J34=0,0,1)</f>
        <v>1</v>
      </c>
      <c r="C34" s="112" t="s">
        <v>567</v>
      </c>
      <c r="D34" s="431" t="str">
        <f>(INDEX(TB_FS!C:C,MATCH(C34,TB_FS!B:B,0)))</f>
        <v>Purchases</v>
      </c>
      <c r="E34" s="203"/>
      <c r="F34" s="203"/>
      <c r="G34" s="203" t="s">
        <v>0</v>
      </c>
      <c r="H34" s="235"/>
      <c r="I34" s="236">
        <f>IFERROR(INDEX(TB_FS!D:D, MATCH(C34, TB_FS!B:B, 0)), 0)</f>
        <v>2045958</v>
      </c>
      <c r="J34" s="236">
        <f>IFERROR(INDEX(TB_FS!E:E, MATCH(C34, TB_FS!B:B, 0)), 0)</f>
        <v>1885747</v>
      </c>
      <c r="K34" s="236">
        <f>IFERROR(ABS(INDEX(TB_FS!F:F, MATCH(C34, TB_FS!B:B, 0))), "")</f>
        <v>1778869</v>
      </c>
      <c r="L34" s="236">
        <f>IFERROR(ABS(INDEX(TB_FS!G:G, MATCH(C34, TB_FS!B:B, 0))), "")</f>
        <v>1940017</v>
      </c>
      <c r="M34" s="236">
        <f>IFERROR(ABS(INDEX(TB_FS!H:H, MATCH(C34, TB_FS!B:B, 0))), "")</f>
        <v>1538246</v>
      </c>
      <c r="N34" s="236" t="str">
        <f>IFERROR(ABS(INDEX(TB_FS!I:I, MATCH(D33, TB_FS!C:C, 0))), "")</f>
        <v/>
      </c>
    </row>
    <row r="35" spans="2:14" ht="15" customHeight="1">
      <c r="B35" s="246">
        <f>IF(I35+J35=0,0,1)</f>
        <v>1</v>
      </c>
      <c r="C35" s="112" t="s">
        <v>1370</v>
      </c>
      <c r="D35" s="431" t="str">
        <f>(INDEX(TB_FS!C:C,MATCH(C35,TB_FS!B:B,0)))</f>
        <v>Direct Supplies</v>
      </c>
      <c r="E35" s="203"/>
      <c r="F35" s="203"/>
      <c r="G35" s="203" t="s">
        <v>0</v>
      </c>
      <c r="H35" s="235"/>
      <c r="I35" s="236">
        <f>IFERROR(INDEX(TB_FS!D:D, MATCH(C35, TB_FS!B:B, 0)), 0)</f>
        <v>39416</v>
      </c>
      <c r="J35" s="236">
        <f>IFERROR(INDEX(TB_FS!E:E, MATCH(C35, TB_FS!B:B, 0)), 0)</f>
        <v>28304</v>
      </c>
      <c r="K35" s="236">
        <f>IFERROR(ABS(INDEX(TB_FS!F:F, MATCH(C35, TB_FS!B:B, 0))), "")</f>
        <v>33732</v>
      </c>
      <c r="L35" s="236">
        <f>IFERROR(ABS(INDEX(TB_FS!G:G, MATCH(C35, TB_FS!B:B, 0))), "")</f>
        <v>34454</v>
      </c>
      <c r="M35" s="236">
        <f>IFERROR(ABS(INDEX(TB_FS!H:H, MATCH(C35, TB_FS!B:B, 0))), "")</f>
        <v>54219</v>
      </c>
      <c r="N35" s="236">
        <f>IFERROR(ABS(INDEX(TB_FS!I:I, MATCH(D34, TB_FS!C:C, 0))), "")</f>
        <v>0</v>
      </c>
    </row>
    <row r="36" spans="2:14" ht="15" customHeight="1">
      <c r="B36" s="246">
        <f>IF(I36+J36=0,0,1)</f>
        <v>1</v>
      </c>
      <c r="C36" s="112" t="s">
        <v>1358</v>
      </c>
      <c r="D36" s="431" t="str">
        <f>(INDEX(TB_FS!C:C,MATCH(C36,TB_FS!B:B,0)))</f>
        <v>Direct Labour</v>
      </c>
      <c r="E36" s="203"/>
      <c r="F36" s="203"/>
      <c r="G36" s="203" t="s">
        <v>0</v>
      </c>
      <c r="H36" s="235"/>
      <c r="I36" s="236">
        <f>IFERROR(INDEX(TB_FS!D:D, MATCH(C36, TB_FS!B:B, 0)), 0)</f>
        <v>1552774</v>
      </c>
      <c r="J36" s="236">
        <f>IFERROR(INDEX(TB_FS!E:E, MATCH(C36, TB_FS!B:B, 0)), 0)</f>
        <v>1355564</v>
      </c>
      <c r="K36" s="236">
        <f>IFERROR(ABS(INDEX(TB_FS!F:F, MATCH(C36, TB_FS!B:B, 0))), "")</f>
        <v>1241497</v>
      </c>
      <c r="L36" s="236">
        <f>IFERROR(ABS(INDEX(TB_FS!G:G, MATCH(C36, TB_FS!B:B, 0))), "")</f>
        <v>1196412</v>
      </c>
      <c r="M36" s="236">
        <f>IFERROR(ABS(INDEX(TB_FS!H:H, MATCH(C36, TB_FS!B:B, 0))), "")</f>
        <v>1037511</v>
      </c>
      <c r="N36" s="236">
        <f>IFERROR(ABS(INDEX(TB_FS!I:I, MATCH(D35, TB_FS!C:C, 0))), "")</f>
        <v>0</v>
      </c>
    </row>
    <row r="37" spans="2:14" ht="15" customHeight="1">
      <c r="B37" s="246">
        <f>IF(I37+J37=0,0,1)</f>
        <v>1</v>
      </c>
      <c r="C37" s="240"/>
      <c r="D37" s="245"/>
      <c r="E37" s="236"/>
      <c r="F37" s="236"/>
      <c r="G37" s="236" t="s">
        <v>0</v>
      </c>
      <c r="H37" s="235"/>
      <c r="I37" s="492">
        <f>SUM(I34:I36)</f>
        <v>3638148</v>
      </c>
      <c r="J37" s="492">
        <f t="shared" ref="J37:N37" si="0">SUM(J34:J36)</f>
        <v>3269615</v>
      </c>
      <c r="K37" s="492">
        <f t="shared" si="0"/>
        <v>3054098</v>
      </c>
      <c r="L37" s="492">
        <f t="shared" si="0"/>
        <v>3170883</v>
      </c>
      <c r="M37" s="492">
        <f t="shared" si="0"/>
        <v>2629976</v>
      </c>
      <c r="N37" s="492">
        <f t="shared" si="0"/>
        <v>0</v>
      </c>
    </row>
    <row r="38" spans="2:14" ht="15" customHeight="1">
      <c r="B38" s="246" t="s">
        <v>0</v>
      </c>
      <c r="C38" s="240"/>
      <c r="D38" s="245"/>
      <c r="E38" s="236"/>
      <c r="F38" s="236"/>
      <c r="G38" s="236" t="s">
        <v>0</v>
      </c>
      <c r="H38" s="235"/>
      <c r="I38" s="236" t="s">
        <v>0</v>
      </c>
      <c r="J38" s="236" t="s">
        <v>0</v>
      </c>
    </row>
    <row r="39" spans="2:14" ht="15" customHeight="1">
      <c r="B39" s="246">
        <f>IF(I39+J39=0,0,1)</f>
        <v>1</v>
      </c>
      <c r="C39" s="240"/>
      <c r="D39" s="466" t="s">
        <v>241</v>
      </c>
      <c r="E39" s="236">
        <f ca="1">E32+E33</f>
        <v>-6059602.4800000004</v>
      </c>
      <c r="F39" s="236" t="e">
        <f>F32+F33</f>
        <v>#REF!</v>
      </c>
      <c r="G39" s="236" t="s">
        <v>0</v>
      </c>
      <c r="H39" s="235"/>
      <c r="I39" s="258">
        <f t="shared" ref="I39:N39" si="1">I32-I37</f>
        <v>2622905</v>
      </c>
      <c r="J39" s="258">
        <f t="shared" si="1"/>
        <v>2789987</v>
      </c>
      <c r="K39" s="258">
        <f t="shared" si="1"/>
        <v>2614305</v>
      </c>
      <c r="L39" s="258">
        <f t="shared" si="1"/>
        <v>2427329</v>
      </c>
      <c r="M39" s="258">
        <f t="shared" si="1"/>
        <v>1701431</v>
      </c>
      <c r="N39" s="258">
        <f t="shared" si="1"/>
        <v>0</v>
      </c>
    </row>
    <row r="40" spans="2:14" ht="15" customHeight="1">
      <c r="B40" s="246" t="s">
        <v>0</v>
      </c>
      <c r="C40" s="240"/>
      <c r="D40" s="245"/>
      <c r="E40" s="236"/>
      <c r="F40" s="236"/>
      <c r="G40" s="236" t="s">
        <v>0</v>
      </c>
      <c r="H40" s="235"/>
      <c r="I40" s="236"/>
      <c r="J40" s="236"/>
    </row>
    <row r="41" spans="2:14" ht="15" customHeight="1">
      <c r="B41" s="246">
        <v>1</v>
      </c>
      <c r="C41" s="240"/>
      <c r="D41" s="466" t="s">
        <v>1476</v>
      </c>
      <c r="E41" s="236"/>
      <c r="F41" s="236"/>
      <c r="G41" s="236" t="s">
        <v>0</v>
      </c>
      <c r="H41" s="235"/>
      <c r="I41" s="755">
        <f>I39/I32</f>
        <v>0.41892394138813394</v>
      </c>
      <c r="J41" s="755">
        <f>J39/J32</f>
        <v>0.46042413346619132</v>
      </c>
      <c r="K41" s="755">
        <f>K39/K32</f>
        <v>0.4612066220415168</v>
      </c>
      <c r="L41" s="755">
        <f>L39/L32</f>
        <v>0.43359004625048142</v>
      </c>
      <c r="M41" s="755">
        <f>M39/M32</f>
        <v>0.3928125433606216</v>
      </c>
      <c r="N41" s="755" t="s">
        <v>0</v>
      </c>
    </row>
    <row r="42" spans="2:14" ht="15" customHeight="1">
      <c r="B42" s="236" t="s">
        <v>0</v>
      </c>
      <c r="C42" s="240"/>
      <c r="D42" s="245"/>
      <c r="E42" s="236"/>
      <c r="F42" s="236"/>
      <c r="G42" s="236" t="s">
        <v>0</v>
      </c>
      <c r="H42" s="235"/>
      <c r="I42" s="236"/>
      <c r="J42" s="236"/>
    </row>
    <row r="43" spans="2:14" ht="15" customHeight="1">
      <c r="B43" s="236" t="s">
        <v>0</v>
      </c>
      <c r="C43" s="240"/>
      <c r="D43" s="466" t="s">
        <v>595</v>
      </c>
      <c r="E43" s="236"/>
      <c r="F43" s="236"/>
      <c r="G43" s="236"/>
      <c r="H43" s="235"/>
      <c r="I43" s="236"/>
      <c r="J43" s="236"/>
    </row>
    <row r="44" spans="2:14" ht="15" customHeight="1">
      <c r="B44" s="246">
        <f t="shared" ref="B44:B50" si="2">IF(I44+J44=0,0,1)</f>
        <v>1</v>
      </c>
      <c r="C44" s="240"/>
      <c r="D44" s="245" t="s">
        <v>107</v>
      </c>
      <c r="E44" s="236">
        <f>I194</f>
        <v>166054</v>
      </c>
      <c r="F44" s="236">
        <f>J194</f>
        <v>193861</v>
      </c>
      <c r="G44" s="236"/>
      <c r="H44" s="235"/>
      <c r="I44" s="236">
        <f t="shared" ref="I44:N44" si="3">I194</f>
        <v>166054</v>
      </c>
      <c r="J44" s="236">
        <f t="shared" si="3"/>
        <v>193861</v>
      </c>
      <c r="K44" s="236">
        <f t="shared" si="3"/>
        <v>2177</v>
      </c>
      <c r="L44" s="236">
        <f t="shared" si="3"/>
        <v>189505</v>
      </c>
      <c r="M44" s="236">
        <f t="shared" si="3"/>
        <v>125998</v>
      </c>
      <c r="N44" s="236">
        <f t="shared" si="3"/>
        <v>0</v>
      </c>
    </row>
    <row r="45" spans="2:14" ht="15" customHeight="1">
      <c r="B45" s="246">
        <f t="shared" si="2"/>
        <v>1</v>
      </c>
      <c r="C45" s="240"/>
      <c r="D45" s="245" t="s">
        <v>301</v>
      </c>
      <c r="E45" s="236">
        <f>I204</f>
        <v>82305</v>
      </c>
      <c r="F45" s="236">
        <f>J204</f>
        <v>58872</v>
      </c>
      <c r="G45" s="236"/>
      <c r="H45" s="235"/>
      <c r="I45" s="236">
        <f t="shared" ref="I45:N45" si="4">I204</f>
        <v>82305</v>
      </c>
      <c r="J45" s="236">
        <f t="shared" si="4"/>
        <v>58872</v>
      </c>
      <c r="K45" s="236">
        <f t="shared" si="4"/>
        <v>73739</v>
      </c>
      <c r="L45" s="236">
        <f t="shared" si="4"/>
        <v>46430</v>
      </c>
      <c r="M45" s="236">
        <f t="shared" si="4"/>
        <v>41294</v>
      </c>
      <c r="N45" s="236">
        <f t="shared" si="4"/>
        <v>0</v>
      </c>
    </row>
    <row r="46" spans="2:14" ht="15" customHeight="1">
      <c r="B46" s="246">
        <f t="shared" si="2"/>
        <v>1</v>
      </c>
      <c r="C46" s="240"/>
      <c r="D46" s="245" t="s">
        <v>242</v>
      </c>
      <c r="E46" s="236">
        <f>I211</f>
        <v>452634</v>
      </c>
      <c r="F46" s="236">
        <f>J211</f>
        <v>841126</v>
      </c>
      <c r="G46" s="236"/>
      <c r="H46" s="235"/>
      <c r="I46" s="236">
        <f t="shared" ref="I46:N46" si="5">I211</f>
        <v>452634</v>
      </c>
      <c r="J46" s="236">
        <f t="shared" si="5"/>
        <v>841126</v>
      </c>
      <c r="K46" s="236">
        <f t="shared" si="5"/>
        <v>648419</v>
      </c>
      <c r="L46" s="236">
        <f t="shared" si="5"/>
        <v>415745</v>
      </c>
      <c r="M46" s="236">
        <f t="shared" si="5"/>
        <v>348695</v>
      </c>
      <c r="N46" s="236">
        <f t="shared" si="5"/>
        <v>0</v>
      </c>
    </row>
    <row r="47" spans="2:14" ht="15" customHeight="1">
      <c r="B47" s="246">
        <f t="shared" si="2"/>
        <v>1</v>
      </c>
      <c r="C47" s="240"/>
      <c r="D47" s="245" t="s">
        <v>243</v>
      </c>
      <c r="E47" s="236">
        <f>I216</f>
        <v>68258</v>
      </c>
      <c r="F47" s="236">
        <f>J216</f>
        <v>79290</v>
      </c>
      <c r="G47" s="236"/>
      <c r="H47" s="235"/>
      <c r="I47" s="236">
        <f t="shared" ref="I47" si="6">I216</f>
        <v>68258</v>
      </c>
      <c r="J47" s="236">
        <f>J216</f>
        <v>79290</v>
      </c>
      <c r="K47" s="236">
        <f>K216</f>
        <v>49804</v>
      </c>
      <c r="L47" s="236">
        <f>L216</f>
        <v>53779</v>
      </c>
      <c r="M47" s="236">
        <f>M216</f>
        <v>26867</v>
      </c>
      <c r="N47" s="236">
        <f>N216</f>
        <v>0</v>
      </c>
    </row>
    <row r="48" spans="2:14" ht="15" customHeight="1">
      <c r="B48" s="246">
        <f t="shared" si="2"/>
        <v>1</v>
      </c>
      <c r="C48" s="240"/>
      <c r="D48" s="245" t="s">
        <v>104</v>
      </c>
      <c r="E48" s="236">
        <f>I222</f>
        <v>40139</v>
      </c>
      <c r="F48" s="236">
        <f>J222</f>
        <v>45881</v>
      </c>
      <c r="G48" s="236"/>
      <c r="H48" s="235"/>
      <c r="I48" s="236">
        <f t="shared" ref="I48:N48" si="7">I222</f>
        <v>40139</v>
      </c>
      <c r="J48" s="236">
        <f t="shared" si="7"/>
        <v>45881</v>
      </c>
      <c r="K48" s="236">
        <f t="shared" si="7"/>
        <v>53334</v>
      </c>
      <c r="L48" s="236">
        <f t="shared" si="7"/>
        <v>48209</v>
      </c>
      <c r="M48" s="236">
        <f t="shared" si="7"/>
        <v>44379</v>
      </c>
      <c r="N48" s="236">
        <f t="shared" si="7"/>
        <v>0</v>
      </c>
    </row>
    <row r="49" spans="2:14" ht="15" customHeight="1">
      <c r="B49" s="246">
        <f t="shared" si="2"/>
        <v>1</v>
      </c>
      <c r="C49" s="240"/>
      <c r="D49" s="245" t="s">
        <v>103</v>
      </c>
      <c r="E49" s="236">
        <f>I230</f>
        <v>650162</v>
      </c>
      <c r="F49" s="236">
        <f>J230</f>
        <v>534457</v>
      </c>
      <c r="G49" s="236"/>
      <c r="H49" s="235"/>
      <c r="I49" s="236">
        <f t="shared" ref="I49:N49" si="8">I230</f>
        <v>650162</v>
      </c>
      <c r="J49" s="236">
        <f t="shared" si="8"/>
        <v>534457</v>
      </c>
      <c r="K49" s="236">
        <f t="shared" si="8"/>
        <v>490110</v>
      </c>
      <c r="L49" s="236">
        <f t="shared" si="8"/>
        <v>460359</v>
      </c>
      <c r="M49" s="236">
        <f t="shared" si="8"/>
        <v>379349</v>
      </c>
      <c r="N49" s="236">
        <f t="shared" si="8"/>
        <v>0</v>
      </c>
    </row>
    <row r="50" spans="2:14" ht="15" customHeight="1">
      <c r="B50" s="246">
        <f t="shared" si="2"/>
        <v>1</v>
      </c>
      <c r="C50" s="240"/>
      <c r="D50" s="245" t="s">
        <v>1362</v>
      </c>
      <c r="E50" s="236">
        <f>I241</f>
        <v>156616</v>
      </c>
      <c r="F50" s="236">
        <f>J241</f>
        <v>110714</v>
      </c>
      <c r="G50" s="236" t="s">
        <v>0</v>
      </c>
      <c r="H50" s="235"/>
      <c r="I50" s="236">
        <f t="shared" ref="I50:N50" si="9">I241</f>
        <v>156616</v>
      </c>
      <c r="J50" s="236">
        <f t="shared" si="9"/>
        <v>110714</v>
      </c>
      <c r="K50" s="236">
        <f t="shared" si="9"/>
        <v>104321</v>
      </c>
      <c r="L50" s="236">
        <f t="shared" si="9"/>
        <v>85061</v>
      </c>
      <c r="M50" s="236">
        <f t="shared" si="9"/>
        <v>61611</v>
      </c>
      <c r="N50" s="236">
        <f t="shared" si="9"/>
        <v>0</v>
      </c>
    </row>
    <row r="51" spans="2:14" ht="15" customHeight="1">
      <c r="B51" s="246" t="s">
        <v>0</v>
      </c>
      <c r="C51" s="240"/>
      <c r="D51" s="245" t="s">
        <v>147</v>
      </c>
      <c r="E51" s="236">
        <f>I247</f>
        <v>942595</v>
      </c>
      <c r="F51" s="236">
        <f>J247</f>
        <v>877643</v>
      </c>
      <c r="G51" s="236"/>
      <c r="H51" s="235"/>
      <c r="I51" s="258">
        <f t="shared" ref="I51:N51" si="10">I247</f>
        <v>942595</v>
      </c>
      <c r="J51" s="258">
        <f t="shared" si="10"/>
        <v>877643</v>
      </c>
      <c r="K51" s="258">
        <f t="shared" si="10"/>
        <v>788986</v>
      </c>
      <c r="L51" s="258">
        <f t="shared" si="10"/>
        <v>738377</v>
      </c>
      <c r="M51" s="258">
        <f t="shared" si="10"/>
        <v>566423</v>
      </c>
      <c r="N51" s="258">
        <f t="shared" si="10"/>
        <v>0</v>
      </c>
    </row>
    <row r="52" spans="2:14" ht="15" customHeight="1">
      <c r="B52" s="236" t="s">
        <v>0</v>
      </c>
      <c r="C52" s="240"/>
      <c r="D52" s="245"/>
      <c r="E52" s="257">
        <f>SUM(E44:E51)</f>
        <v>2558763</v>
      </c>
      <c r="F52" s="256">
        <f>SUM(F44:F51)</f>
        <v>2741844</v>
      </c>
      <c r="G52" s="235"/>
      <c r="H52" s="235"/>
      <c r="I52" s="236">
        <f>SUM(I44:I51)</f>
        <v>2558763</v>
      </c>
      <c r="J52" s="236">
        <f>SUM(J44:J51)</f>
        <v>2741844</v>
      </c>
      <c r="K52" s="236">
        <f t="shared" ref="K52:N52" si="11">SUM(K44:K51)</f>
        <v>2210890</v>
      </c>
      <c r="L52" s="236">
        <f>SUM(L44:L51)</f>
        <v>2037465</v>
      </c>
      <c r="M52" s="236">
        <f t="shared" si="11"/>
        <v>1594616</v>
      </c>
      <c r="N52" s="236">
        <f t="shared" si="11"/>
        <v>0</v>
      </c>
    </row>
    <row r="53" spans="2:14" ht="15" customHeight="1">
      <c r="B53" s="236" t="s">
        <v>0</v>
      </c>
      <c r="C53" s="240"/>
      <c r="D53" s="245"/>
      <c r="E53" s="236"/>
      <c r="F53" s="236"/>
      <c r="G53" s="236"/>
      <c r="H53" s="235"/>
      <c r="I53" s="236"/>
      <c r="J53" s="236"/>
    </row>
    <row r="54" spans="2:14" ht="15" customHeight="1">
      <c r="B54" s="236">
        <v>1</v>
      </c>
      <c r="C54" s="240"/>
      <c r="D54" s="466" t="s">
        <v>641</v>
      </c>
      <c r="E54" s="255">
        <f ca="1">E39+E52</f>
        <v>-3500839.4800000004</v>
      </c>
      <c r="F54" s="255" t="e">
        <f>F39+F52</f>
        <v>#REF!</v>
      </c>
      <c r="G54" s="255" t="s">
        <v>0</v>
      </c>
      <c r="H54" s="235"/>
      <c r="I54" s="234">
        <f>I39-I52</f>
        <v>64142</v>
      </c>
      <c r="J54" s="234">
        <f>J39-J52</f>
        <v>48143</v>
      </c>
      <c r="K54" s="234">
        <f t="shared" ref="K54:N54" si="12">K39-K52</f>
        <v>403415</v>
      </c>
      <c r="L54" s="234">
        <f>L39-L52</f>
        <v>389864</v>
      </c>
      <c r="M54" s="234">
        <f t="shared" si="12"/>
        <v>106815</v>
      </c>
      <c r="N54" s="234">
        <f t="shared" si="12"/>
        <v>0</v>
      </c>
    </row>
    <row r="55" spans="2:14" ht="15" hidden="1" customHeight="1">
      <c r="B55" s="236">
        <v>0</v>
      </c>
      <c r="C55" s="240"/>
      <c r="D55" s="253"/>
      <c r="E55" s="255"/>
      <c r="F55" s="255"/>
      <c r="G55" s="255" t="s">
        <v>0</v>
      </c>
      <c r="H55" s="235"/>
      <c r="I55" s="236"/>
      <c r="J55" s="236"/>
    </row>
    <row r="56" spans="2:14" ht="15" customHeight="1">
      <c r="B56" s="246">
        <f>IF(I56+J56=0,0,1)</f>
        <v>1</v>
      </c>
      <c r="C56" s="240"/>
      <c r="D56" s="473" t="s">
        <v>640</v>
      </c>
      <c r="E56" s="258">
        <f>I267</f>
        <v>16632</v>
      </c>
      <c r="F56" s="258">
        <f>J267</f>
        <v>0</v>
      </c>
      <c r="G56" s="236"/>
      <c r="H56" s="235"/>
      <c r="I56" s="258">
        <f>I267</f>
        <v>16632</v>
      </c>
      <c r="J56" s="258">
        <f>J267</f>
        <v>0</v>
      </c>
      <c r="K56" s="258">
        <f t="shared" ref="K56:N56" si="13">K267</f>
        <v>0</v>
      </c>
      <c r="L56" s="258">
        <f t="shared" si="13"/>
        <v>0</v>
      </c>
      <c r="M56" s="258">
        <f t="shared" si="13"/>
        <v>0</v>
      </c>
      <c r="N56" s="236">
        <f t="shared" si="13"/>
        <v>0</v>
      </c>
    </row>
    <row r="57" spans="2:14" ht="15" hidden="1" customHeight="1">
      <c r="B57" s="236">
        <v>0</v>
      </c>
      <c r="C57" s="506" t="s">
        <v>588</v>
      </c>
      <c r="D57" s="468" t="str">
        <f>UPPER(INDEX(TB_FS!C:C,MATCH(C57,TB_FS!B:B,0)))</f>
        <v>REALIZED GAINS/LOSSES ON DISPOSAL OF ASSETS</v>
      </c>
      <c r="E57" s="255"/>
      <c r="F57" s="255"/>
      <c r="G57" s="255"/>
      <c r="H57" s="235"/>
      <c r="I57" s="258">
        <f>IFERROR(ABS(INDEX(TB_FS!D:D, MATCH(C57, TB_FS!B:B, 0))), "")</f>
        <v>7326</v>
      </c>
      <c r="J57" s="258">
        <f>IFERROR(ABS(INDEX(TB_FS!E:E, MATCH(C57, TB_FS!B:B, 0))), "")</f>
        <v>0</v>
      </c>
      <c r="K57" s="258">
        <f>IFERROR(ABS(INDEX(TB_FS!F:F, MATCH(C57, TB_FS!B:B, 0))), "")</f>
        <v>0</v>
      </c>
      <c r="L57" s="258">
        <f>IFERROR(ABS(INDEX(TB_FS!G:G, MATCH(C57, TB_FS!B:B, 0))), "")</f>
        <v>0</v>
      </c>
      <c r="M57" s="258">
        <f>IFERROR(ABS(INDEX(TB_FS!H:H, MATCH(C57, TB_FS!B:B, 0))), "")</f>
        <v>0</v>
      </c>
      <c r="N57" s="258">
        <f>IFERROR(ABS(INDEX(TB_FS!I:I, MATCH(C57, TB_FS!B:B, 0))), "")</f>
        <v>0</v>
      </c>
    </row>
    <row r="58" spans="2:14" ht="15" customHeight="1">
      <c r="B58" s="236" t="s">
        <v>0</v>
      </c>
      <c r="C58" s="240"/>
      <c r="D58" s="253"/>
      <c r="E58" s="255"/>
      <c r="F58" s="255"/>
      <c r="G58" s="255"/>
      <c r="H58" s="235"/>
      <c r="I58" s="236" t="s">
        <v>0</v>
      </c>
      <c r="J58" s="236" t="s">
        <v>0</v>
      </c>
    </row>
    <row r="59" spans="2:14" ht="15" customHeight="1">
      <c r="B59" s="236" t="s">
        <v>0</v>
      </c>
      <c r="C59" s="240" t="s">
        <v>0</v>
      </c>
      <c r="D59" s="473" t="s">
        <v>267</v>
      </c>
      <c r="E59" s="254">
        <f ca="1">(E56)+E54</f>
        <v>-3484207.4800000004</v>
      </c>
      <c r="F59" s="254" t="e">
        <f>(F56)+F54</f>
        <v>#REF!</v>
      </c>
      <c r="G59" s="236"/>
      <c r="H59" s="235"/>
      <c r="I59" s="236">
        <f t="shared" ref="I59:N59" si="14">I54+I56+I57</f>
        <v>88100</v>
      </c>
      <c r="J59" s="236">
        <f t="shared" si="14"/>
        <v>48143</v>
      </c>
      <c r="K59" s="236">
        <f t="shared" si="14"/>
        <v>403415</v>
      </c>
      <c r="L59" s="236">
        <f t="shared" si="14"/>
        <v>389864</v>
      </c>
      <c r="M59" s="236">
        <f t="shared" si="14"/>
        <v>106815</v>
      </c>
      <c r="N59" s="236">
        <f t="shared" si="14"/>
        <v>0</v>
      </c>
    </row>
    <row r="60" spans="2:14" ht="15" customHeight="1">
      <c r="B60" s="246">
        <f>IF(I60+J60=0,0,1)</f>
        <v>1</v>
      </c>
      <c r="C60" t="s">
        <v>504</v>
      </c>
      <c r="D60" s="468" t="str">
        <f>UPPER(INDEX(TB_FS!C:C,MATCH(C60,TB_FS!B:B,0)))</f>
        <v xml:space="preserve">CURRENT INCOME TAX  </v>
      </c>
      <c r="E60" s="241">
        <f ca="1">SUMIF(COA!$F$6:$I$173,C60,COA!$I$6:$I$173)</f>
        <v>13961.47</v>
      </c>
      <c r="F60" s="241" t="e">
        <f>SUMIF(COA!$F$6:$I$173,C60,COA!#REF!)</f>
        <v>#REF!</v>
      </c>
      <c r="G60" s="203"/>
      <c r="H60" s="235"/>
      <c r="I60" s="258">
        <f>IFERROR(INDEX(TB_FS!D:D, MATCH(C60, TB_FS!B:B, 0)), 0)</f>
        <v>13</v>
      </c>
      <c r="J60" s="258">
        <f>IFERROR(INDEX(TB_FS!E:E, MATCH(C60, TB_FS!B:B, 0)), 0)</f>
        <v>13961</v>
      </c>
      <c r="K60" s="258">
        <f>IFERROR(INDEX(TB_FS!F:F, MATCH(C60, TB_FS!B:B, 0)), 0)</f>
        <v>116990</v>
      </c>
      <c r="L60" s="258">
        <f>IFERROR(INDEX(TB_FS!G:G, MATCH(C60, TB_FS!B:B, 0)), 0)</f>
        <v>113061</v>
      </c>
      <c r="M60" s="258">
        <f>IFERROR(INDEX(TB_FS!H:H, MATCH(C60, TB_FS!B:B, 0)), 0)</f>
        <v>30976</v>
      </c>
      <c r="N60" s="258">
        <f>IFERROR(INDEX(TB_FS!I:I, MATCH(C60, TB_FS!B:B, 0)), 0)</f>
        <v>0</v>
      </c>
    </row>
    <row r="61" spans="2:14" ht="15" customHeight="1">
      <c r="B61" s="246">
        <f>IF(I61+J61=0,0,1)</f>
        <v>1</v>
      </c>
      <c r="C61" s="240"/>
      <c r="D61" s="466" t="s">
        <v>266</v>
      </c>
      <c r="E61" s="254">
        <f ca="1">E59+E60</f>
        <v>-3470246.0100000002</v>
      </c>
      <c r="F61" s="254" t="e">
        <f>F60+F59</f>
        <v>#REF!</v>
      </c>
      <c r="G61" s="236" t="s">
        <v>0</v>
      </c>
      <c r="H61" s="246" t="s">
        <v>0</v>
      </c>
      <c r="I61" s="236">
        <f t="shared" ref="I61:N61" si="15">I59-I60</f>
        <v>88087</v>
      </c>
      <c r="J61" s="236">
        <f t="shared" si="15"/>
        <v>34182</v>
      </c>
      <c r="K61" s="236">
        <f t="shared" si="15"/>
        <v>286425</v>
      </c>
      <c r="L61" s="236">
        <f t="shared" si="15"/>
        <v>276803</v>
      </c>
      <c r="M61" s="236">
        <f t="shared" si="15"/>
        <v>75839</v>
      </c>
      <c r="N61" s="236">
        <f t="shared" si="15"/>
        <v>0</v>
      </c>
    </row>
    <row r="62" spans="2:14" ht="15" customHeight="1">
      <c r="B62" s="236" t="s">
        <v>0</v>
      </c>
      <c r="C62" s="240"/>
      <c r="D62" s="245"/>
      <c r="E62" s="236"/>
      <c r="F62" s="236"/>
      <c r="G62" s="236"/>
      <c r="H62" s="235"/>
      <c r="I62" s="236"/>
      <c r="J62" s="236"/>
    </row>
    <row r="63" spans="2:14" ht="15" customHeight="1">
      <c r="B63" s="246">
        <f>IF(I63+J63=0,0,1)</f>
        <v>1</v>
      </c>
      <c r="C63" t="s">
        <v>347</v>
      </c>
      <c r="D63" s="468" t="str">
        <f>UPPER(INDEX(TB_FS!C:C,MATCH(C63,TB_FS!B:B,0)))</f>
        <v>RETAINED EARNINGS</v>
      </c>
      <c r="E63" s="241">
        <f ca="1">SUMIF(COA!$F$6:$I$173,C63,COA!$I$6:$I$173)</f>
        <v>-594646.96000000183</v>
      </c>
      <c r="F63" s="241" t="e">
        <f>SUMIF(COA!$F$6:$I$173,C63,COA!#REF!)</f>
        <v>#REF!</v>
      </c>
      <c r="G63" s="203"/>
      <c r="H63" s="246" t="s">
        <v>0</v>
      </c>
      <c r="I63" s="236">
        <f>J65</f>
        <v>628835</v>
      </c>
      <c r="J63" s="236">
        <f>K65</f>
        <v>594653</v>
      </c>
      <c r="K63" s="236">
        <f>L65</f>
        <v>446028</v>
      </c>
      <c r="L63" s="236">
        <f>M65</f>
        <v>169225</v>
      </c>
      <c r="M63" s="236">
        <f>IFERROR(ABS(INDEX(TB_FS!H:H, MATCH(C63, TB_FS!B:B, 0))), "")</f>
        <v>295388</v>
      </c>
      <c r="N63" s="236">
        <f>IFERROR(ABS(INDEX(TB_FS!I:I, MATCH(C63, TB_FS!B:B, 0))), 0)</f>
        <v>0</v>
      </c>
    </row>
    <row r="64" spans="2:14" ht="15" customHeight="1">
      <c r="B64" s="246">
        <f>IF(I64+J64=0,0,1)</f>
        <v>1</v>
      </c>
      <c r="C64" s="506" t="s">
        <v>559</v>
      </c>
      <c r="D64" s="468" t="str">
        <f>UPPER(INDEX(M_COA[FS_LINE],MATCH(C64,M_COA[IFSL],0)))</f>
        <v>DIVIDENDS</v>
      </c>
      <c r="E64" s="203">
        <f ca="1">SUMIF(COA!$F$6:$I$173,C64,COA!$I$6:$I$173)</f>
        <v>0</v>
      </c>
      <c r="F64" s="203" t="e">
        <f>SUMIF(COA!$F$6:$I$173,C64,COA!#REF!)</f>
        <v>#REF!</v>
      </c>
      <c r="G64" s="203" t="s">
        <v>0</v>
      </c>
      <c r="H64" s="235"/>
      <c r="I64" s="258">
        <f>IFERROR(ABS(INDEX(TB_FS!D:D, MATCH($C$64, TB_FS!$B:$B, 0))), 0)</f>
        <v>182989</v>
      </c>
      <c r="J64" s="258">
        <f>IFERROR(ABS(INDEX(TB_FS!E:E, MATCH($C$64, TB_FS!$B:$B, 0))), 0)</f>
        <v>0</v>
      </c>
      <c r="K64" s="258">
        <f>IFERROR(ABS(INDEX(TB_FS!F:F, MATCH($C$64, TB_FS!$B:$B, 0))), 0)</f>
        <v>137800</v>
      </c>
      <c r="L64" s="258">
        <f>IFERROR(ABS(INDEX(TB_FS!G:G, MATCH($C$64, TB_FS!$B:$B, 0))), 0)</f>
        <v>0</v>
      </c>
      <c r="M64" s="258">
        <f>IFERROR(ABS(INDEX(TB_FS!H:H, MATCH($C$64, TB_FS!$B:$B, 0))), 0)</f>
        <v>202002</v>
      </c>
      <c r="N64" s="258">
        <f>IFERROR(ABS(INDEX(TB_FS!I:I, MATCH($C$64, TB_FS!$B:$B, 0))), 0)</f>
        <v>0</v>
      </c>
    </row>
    <row r="65" spans="2:14" ht="15" customHeight="1" thickBot="1">
      <c r="B65" s="246">
        <f>IF(I65+J65=0,0,1)</f>
        <v>1</v>
      </c>
      <c r="C65" s="240"/>
      <c r="D65" s="474" t="s">
        <v>302</v>
      </c>
      <c r="E65" s="454">
        <f ca="1">E61+E63+E64</f>
        <v>-4064892.9700000021</v>
      </c>
      <c r="F65" s="454" t="e">
        <f>F61+F63+F64</f>
        <v>#REF!</v>
      </c>
      <c r="G65" s="454"/>
      <c r="H65" s="463"/>
      <c r="I65" s="454">
        <f>I61+I63-I64</f>
        <v>533933</v>
      </c>
      <c r="J65" s="454">
        <f>J61+J63-J64</f>
        <v>628835</v>
      </c>
      <c r="K65" s="454">
        <f>K61+K63-K64</f>
        <v>594653</v>
      </c>
      <c r="L65" s="454">
        <f>L61+L63-L64</f>
        <v>446028</v>
      </c>
      <c r="M65" s="454">
        <f>M61+M63-M64</f>
        <v>169225</v>
      </c>
      <c r="N65" s="454">
        <f>N61+N63+N64</f>
        <v>0</v>
      </c>
    </row>
    <row r="66" spans="2:14" ht="15" customHeight="1" thickTop="1">
      <c r="B66" s="246" t="s">
        <v>0</v>
      </c>
      <c r="C66" s="240"/>
      <c r="D66" s="245"/>
      <c r="E66" s="236" t="s">
        <v>0</v>
      </c>
      <c r="F66" s="236" t="s">
        <v>0</v>
      </c>
      <c r="G66" s="236"/>
      <c r="H66" s="235"/>
      <c r="I66" s="236" t="s">
        <v>0</v>
      </c>
      <c r="J66" s="236" t="s">
        <v>0</v>
      </c>
    </row>
    <row r="67" spans="2:14" ht="15" customHeight="1">
      <c r="B67" s="236" t="s">
        <v>0</v>
      </c>
      <c r="C67" s="240"/>
      <c r="D67" s="245"/>
      <c r="E67" s="236"/>
      <c r="F67" s="236"/>
      <c r="G67" s="236"/>
      <c r="H67" s="235"/>
      <c r="I67" s="236"/>
      <c r="J67" s="236"/>
    </row>
    <row r="68" spans="2:14" ht="15" customHeight="1">
      <c r="B68" s="236" t="s">
        <v>0</v>
      </c>
      <c r="C68" s="240"/>
      <c r="D68" s="252" t="s">
        <v>0</v>
      </c>
      <c r="E68" s="243"/>
      <c r="F68" s="243"/>
      <c r="G68" s="243"/>
      <c r="H68" s="243"/>
      <c r="I68" s="493"/>
      <c r="J68" s="556"/>
      <c r="M68" s="494" t="str">
        <f>UPPER(COA!$B$2)</f>
        <v>ANONYMOUS COMPANY</v>
      </c>
    </row>
    <row r="69" spans="2:14" ht="15" customHeight="1">
      <c r="B69" s="236" t="s">
        <v>0</v>
      </c>
      <c r="C69" s="240"/>
      <c r="D69" s="333" t="s">
        <v>0</v>
      </c>
      <c r="E69" s="238"/>
      <c r="F69" s="238"/>
      <c r="G69" s="334"/>
      <c r="H69" s="238"/>
      <c r="I69" s="334"/>
      <c r="J69" s="556"/>
      <c r="M69" s="495" t="s">
        <v>109</v>
      </c>
    </row>
    <row r="70" spans="2:14" ht="15" customHeight="1" thickBot="1">
      <c r="B70" s="236" t="s">
        <v>0</v>
      </c>
      <c r="C70" s="240"/>
      <c r="D70" s="451" t="s">
        <v>0</v>
      </c>
      <c r="E70" s="448"/>
      <c r="F70" s="448"/>
      <c r="G70" s="448"/>
      <c r="H70" s="451"/>
      <c r="I70" s="496"/>
      <c r="J70" s="496"/>
      <c r="K70" s="452"/>
      <c r="L70" s="452"/>
      <c r="M70" s="497" t="str">
        <f>"As at "&amp;(TEXT(COA!$B$4,"MMMM DD, YYYY"))</f>
        <v>As at December 31, 2025</v>
      </c>
    </row>
    <row r="71" spans="2:14" ht="15" customHeight="1" thickTop="1">
      <c r="B71" s="236" t="s">
        <v>0</v>
      </c>
      <c r="C71" s="240"/>
      <c r="D71" s="245"/>
      <c r="E71" s="245"/>
      <c r="F71" s="245"/>
      <c r="G71" s="236"/>
      <c r="H71" s="245"/>
      <c r="I71" s="445">
        <f>YEAR(COA!$B$4)</f>
        <v>2025</v>
      </c>
      <c r="J71" s="446">
        <f>R_FS[[#This Row],[CY]]-1</f>
        <v>2024</v>
      </c>
      <c r="K71" s="447">
        <f>R_FS[[#This Row],[PY]]-1</f>
        <v>2023</v>
      </c>
      <c r="L71" s="447">
        <f>R_FS[[#This Row],[PY2]]-1</f>
        <v>2022</v>
      </c>
      <c r="M71" s="447">
        <f>R_FS[[#This Row],[PY3]]-1</f>
        <v>2021</v>
      </c>
      <c r="N71" s="447">
        <f>R_FS[[#This Row],[PY4]]-1</f>
        <v>2020</v>
      </c>
    </row>
    <row r="72" spans="2:14" ht="15" customHeight="1">
      <c r="B72" s="236" t="s">
        <v>0</v>
      </c>
      <c r="C72" s="240"/>
      <c r="D72" s="251"/>
      <c r="E72" s="251"/>
      <c r="F72" s="251"/>
      <c r="G72" s="258"/>
      <c r="H72" s="251"/>
      <c r="I72" s="358" t="s">
        <v>260</v>
      </c>
      <c r="J72" s="359" t="s">
        <v>260</v>
      </c>
      <c r="K72" s="358" t="s">
        <v>260</v>
      </c>
      <c r="L72" s="358" t="s">
        <v>260</v>
      </c>
      <c r="M72" s="358" t="s">
        <v>260</v>
      </c>
      <c r="N72" s="358" t="s">
        <v>260</v>
      </c>
    </row>
    <row r="73" spans="2:14" ht="15" customHeight="1">
      <c r="B73" s="236" t="s">
        <v>0</v>
      </c>
      <c r="C73" s="240" t="s">
        <v>0</v>
      </c>
      <c r="D73" s="466" t="s">
        <v>265</v>
      </c>
      <c r="E73" s="249"/>
      <c r="F73" s="249"/>
      <c r="G73" s="249"/>
      <c r="H73" s="249"/>
      <c r="I73" s="236"/>
      <c r="J73" s="236" t="s">
        <v>0</v>
      </c>
    </row>
    <row r="74" spans="2:14" ht="15" customHeight="1">
      <c r="B74" s="236" t="s">
        <v>0</v>
      </c>
      <c r="C74" s="240"/>
      <c r="D74" s="467" t="s">
        <v>540</v>
      </c>
      <c r="E74" s="249"/>
      <c r="F74" s="249"/>
      <c r="G74" s="249"/>
      <c r="H74" s="249"/>
      <c r="I74" s="236" t="s">
        <v>0</v>
      </c>
      <c r="J74" s="236" t="s">
        <v>0</v>
      </c>
    </row>
    <row r="75" spans="2:14" ht="15" customHeight="1">
      <c r="B75" s="246">
        <f>IFERROR(IF(I75+J75=0,0,1),1)</f>
        <v>1</v>
      </c>
      <c r="C75" s="112" t="s">
        <v>547</v>
      </c>
      <c r="D75" s="431" t="str">
        <f>(INDEX(TB_FS!C:C,MATCH(C75,TB_FS!B:B,0)))</f>
        <v>Cash</v>
      </c>
      <c r="E75" s="241">
        <f ca="1">SUMIF(COA!$F$6:$I$173,C75,COA!$I$6:$I$173)</f>
        <v>509493.210000002</v>
      </c>
      <c r="F75" s="241" t="e">
        <f>SUMIF(COA!$F$6:$I$173,C75,COA!#REF!)</f>
        <v>#REF!</v>
      </c>
      <c r="G75" s="203"/>
      <c r="H75" s="235"/>
      <c r="I75" s="511">
        <f>ABS(IF(I278&gt;0.01,I278,0))</f>
        <v>77184</v>
      </c>
      <c r="J75" s="511">
        <f>ABS(IF(J278&gt;0.01,J278,0))</f>
        <v>509493</v>
      </c>
      <c r="K75" s="511">
        <f t="shared" ref="K75:N75" si="16">ABS(IF(K278&gt;0.01,K278,0))</f>
        <v>408632</v>
      </c>
      <c r="L75" s="511">
        <f>ABS(IF(L278&gt;0.01,L278,0))</f>
        <v>219150</v>
      </c>
      <c r="M75" s="511">
        <f t="shared" si="16"/>
        <v>152840</v>
      </c>
      <c r="N75" s="511">
        <f t="shared" si="16"/>
        <v>0</v>
      </c>
    </row>
    <row r="76" spans="2:14" ht="18" customHeight="1">
      <c r="B76" s="246">
        <f>IF(I76+J76=0,0,1)</f>
        <v>1</v>
      </c>
      <c r="C76" t="s">
        <v>548</v>
      </c>
      <c r="D76" s="431" t="str">
        <f>(INDEX(TB_FS!C:C,MATCH(C76,TB_FS!B:B,0)))</f>
        <v>Marketable securities</v>
      </c>
      <c r="E76" s="241">
        <f ca="1">SUMIF(COA!$F$6:$I$173,C76,COA!$I$6:$I$173)</f>
        <v>119849.41</v>
      </c>
      <c r="F76" s="241" t="e">
        <f>SUMIF(COA!$F$6:$I$173,C76,COA!#REF!)</f>
        <v>#REF!</v>
      </c>
      <c r="G76" s="203"/>
      <c r="H76" s="235"/>
      <c r="I76" s="236">
        <f>IFERROR(INDEX(TB_FS!D:D, MATCH(C76, TB_FS!B:B, 0)), 0)</f>
        <v>136668</v>
      </c>
      <c r="J76" s="236">
        <f>IFERROR(INDEX(TB_FS!E:E, MATCH($C$76, TB_FS!$B:$B, 0)), 0)</f>
        <v>119850</v>
      </c>
      <c r="K76" s="236">
        <f>IFERROR(INDEX(TB_FS!F:F, MATCH($C$76, TB_FS!$B:$B, 0)), 0)</f>
        <v>0</v>
      </c>
      <c r="L76" s="236">
        <f>IFERROR(INDEX(TB_FS!G:G, MATCH($C$76, TB_FS!$B:$B, 0)), 0)</f>
        <v>0</v>
      </c>
      <c r="M76" s="236">
        <f>IFERROR(INDEX(TB_FS!H:H, MATCH($C$76, TB_FS!$B:$B, 0)), 0)</f>
        <v>130959</v>
      </c>
      <c r="N76" s="236">
        <f>IFERROR(INDEX(TB_FS!I:I, MATCH($C$76, TB_FS!$B:$B, 0)), 0)</f>
        <v>0</v>
      </c>
    </row>
    <row r="77" spans="2:14" ht="15" customHeight="1">
      <c r="B77" s="246">
        <f>IF(I77+J77=0,0,1)</f>
        <v>1</v>
      </c>
      <c r="C77" t="s">
        <v>549</v>
      </c>
      <c r="D77" s="431" t="str">
        <f>(INDEX(TB_FS!C:C,MATCH(C77,TB_FS!B:B,0)))</f>
        <v>Accounts receivable</v>
      </c>
      <c r="E77" s="241">
        <f ca="1">SUMIF(COA!$F$6:$I$173,C77,COA!$I$6:$I$173)</f>
        <v>14544.09</v>
      </c>
      <c r="F77" s="241" t="e">
        <f>SUMIF(COA!$F$6:$I$173,C77,COA!#REF!)</f>
        <v>#REF!</v>
      </c>
      <c r="G77" s="203"/>
      <c r="H77" s="235"/>
      <c r="I77" s="236">
        <f>IFERROR(INDEX(TB_FS!D:D, MATCH(C77, TB_FS!B:B, 0)), 0)</f>
        <v>53399</v>
      </c>
      <c r="J77" s="236">
        <f>IFERROR(INDEX(TB_FS!E:E, MATCH($C$77, TB_FS!$B:$B, 0)), 0)</f>
        <v>14544</v>
      </c>
      <c r="K77" s="236">
        <f>IFERROR(INDEX(TB_FS!F:F, MATCH($C$77, TB_FS!$B:$B, 0)), 0)</f>
        <v>9706</v>
      </c>
      <c r="L77" s="236">
        <f>IFERROR(INDEX(TB_FS!G:G, MATCH($C$77, TB_FS!$B:$B, 0)), 0)</f>
        <v>5159</v>
      </c>
      <c r="M77" s="236">
        <f>IFERROR(INDEX(TB_FS!H:H, MATCH($C$77, TB_FS!$B:$B, 0)), 0)</f>
        <v>14015</v>
      </c>
      <c r="N77" s="236">
        <f>IFERROR(INDEX(TB_FS!I:I, MATCH($C$77, TB_FS!$B:$B, 0)), 0)</f>
        <v>0</v>
      </c>
    </row>
    <row r="78" spans="2:14" ht="15" customHeight="1">
      <c r="B78" s="246">
        <f>IF(I78+J78=0,0,1)</f>
        <v>1</v>
      </c>
      <c r="C78" s="112" t="s">
        <v>382</v>
      </c>
      <c r="D78" s="431" t="str">
        <f>(INDEX(TB_FS!C:C,MATCH(C78,TB_FS!B:B,0)))</f>
        <v>Inventory</v>
      </c>
      <c r="E78" s="241">
        <f ca="1">SUMIF(COA!$F$6:$I$173,C78,COA!$I$6:$I$173)</f>
        <v>49573.120000000003</v>
      </c>
      <c r="F78" s="241" t="e">
        <f>SUMIF(COA!$F$6:$I$173,C78,COA!#REF!)</f>
        <v>#REF!</v>
      </c>
      <c r="G78" s="203"/>
      <c r="H78" s="235"/>
      <c r="I78" s="236">
        <f>IFERROR(INDEX(TB_FS!D:D, MATCH(C78, TB_FS!B:B, 0)), 0)</f>
        <v>38350</v>
      </c>
      <c r="J78" s="236">
        <f>IFERROR(INDEX(TB_FS!E:E, MATCH($C$78, TB_FS!$B:$B, 0)), 0)</f>
        <v>49573</v>
      </c>
      <c r="K78" s="236">
        <f>IFERROR(INDEX(TB_FS!F:F, MATCH($C$78, TB_FS!$B:$B, 0)), 0)</f>
        <v>39575</v>
      </c>
      <c r="L78" s="236">
        <f>IFERROR(INDEX(TB_FS!G:G, MATCH($C$78, TB_FS!$B:$B, 0)), 0)</f>
        <v>39575</v>
      </c>
      <c r="M78" s="236">
        <f>IFERROR(INDEX(TB_FS!H:H, MATCH($C$78, TB_FS!$B:$B, 0)), 0)</f>
        <v>35717</v>
      </c>
      <c r="N78" s="236">
        <f>IFERROR(INDEX(TB_FS!I:I, MATCH($C$78, TB_FS!$B:$B, 0)), 0)</f>
        <v>0</v>
      </c>
    </row>
    <row r="79" spans="2:14" ht="15" customHeight="1">
      <c r="B79" s="246" t="s">
        <v>0</v>
      </c>
      <c r="C79" s="510" t="s">
        <v>0</v>
      </c>
      <c r="D79" s="431" t="s">
        <v>649</v>
      </c>
      <c r="E79" s="241"/>
      <c r="F79" s="241"/>
      <c r="G79" s="203" t="s">
        <v>0</v>
      </c>
      <c r="H79" s="235"/>
      <c r="I79" s="511">
        <f>ABS(IF(I286&gt;0.01,I286,0))</f>
        <v>0</v>
      </c>
      <c r="J79" s="511">
        <f>ABS(IF(J286&gt;0.01,J286,0))</f>
        <v>0</v>
      </c>
      <c r="K79" s="511">
        <f t="shared" ref="K79:N79" si="17">ABS(IF(K286&gt;0.01,K286,0))</f>
        <v>18955</v>
      </c>
      <c r="L79" s="511">
        <f t="shared" si="17"/>
        <v>0</v>
      </c>
      <c r="M79" s="511">
        <f t="shared" si="17"/>
        <v>0</v>
      </c>
      <c r="N79" s="511">
        <f t="shared" si="17"/>
        <v>0</v>
      </c>
    </row>
    <row r="80" spans="2:14" ht="15" customHeight="1">
      <c r="B80" s="246" t="s">
        <v>0</v>
      </c>
      <c r="C80" s="510" t="s">
        <v>0</v>
      </c>
      <c r="D80" s="431" t="s">
        <v>650</v>
      </c>
      <c r="E80" s="241"/>
      <c r="F80" s="241"/>
      <c r="G80" s="203" t="s">
        <v>0</v>
      </c>
      <c r="H80" s="235"/>
      <c r="I80" s="511">
        <f>ABS(IF(I284&gt;0.01,I284,0))</f>
        <v>0</v>
      </c>
      <c r="J80" s="511">
        <f>ABS(IF(J284&gt;0.01,J284,0))</f>
        <v>0</v>
      </c>
      <c r="K80" s="511">
        <f t="shared" ref="K80:N80" si="18">ABS(IF(K284&gt;0.01,K284,0))</f>
        <v>5586</v>
      </c>
      <c r="L80" s="511">
        <f t="shared" si="18"/>
        <v>0</v>
      </c>
      <c r="M80" s="511">
        <f t="shared" si="18"/>
        <v>0</v>
      </c>
      <c r="N80" s="511">
        <f t="shared" si="18"/>
        <v>0</v>
      </c>
    </row>
    <row r="81" spans="2:14" ht="15" customHeight="1">
      <c r="B81" s="246">
        <f>IF(I81+J81=0,0,1)</f>
        <v>1</v>
      </c>
      <c r="C81" s="112" t="s">
        <v>1143</v>
      </c>
      <c r="D81" s="431" t="str">
        <f>(INDEX(TB_FS!C:C,MATCH(C81,TB_FS!B:B,0)))</f>
        <v>Prepaid expense</v>
      </c>
      <c r="E81" s="241">
        <f ca="1">SUMIF(COA!$F$6:$I$173,C81,COA!$I$6:$I$173)</f>
        <v>9432.98</v>
      </c>
      <c r="F81" s="241" t="e">
        <f>SUMIF(COA!$F$6:$I$173,C81,COA!#REF!)</f>
        <v>#REF!</v>
      </c>
      <c r="G81" s="203"/>
      <c r="H81" s="235"/>
      <c r="I81" s="236">
        <f>IFERROR(INDEX(TB_FS!D:D, MATCH(C81, TB_FS!B:B, 0)), 0)</f>
        <v>9932</v>
      </c>
      <c r="J81" s="236">
        <f>IFERROR(INDEX(TB_FS!E:E, MATCH($C$81, TB_FS!$B:$B, 0)), 0)</f>
        <v>9433</v>
      </c>
      <c r="K81" s="236">
        <f>IFERROR(INDEX(TB_FS!F:F, MATCH($C$81, TB_FS!$B:$B, 0)), 0)</f>
        <v>8216</v>
      </c>
      <c r="L81" s="236">
        <f>IFERROR(INDEX(TB_FS!G:G, MATCH($C$81, TB_FS!$B:$B, 0)), 0)</f>
        <v>29115</v>
      </c>
      <c r="M81" s="236">
        <f>IFERROR(INDEX(TB_FS!H:H, MATCH($C$81, TB_FS!$B:$B, 0)), 0)</f>
        <v>32580</v>
      </c>
      <c r="N81" s="236">
        <f>IFERROR(INDEX(TB_FS!I:I, MATCH($C$77, TB_FS!$B:$B, 0)), 0)</f>
        <v>0</v>
      </c>
    </row>
    <row r="82" spans="2:14" ht="15" hidden="1" customHeight="1">
      <c r="B82" s="246">
        <f>IF(I82+J82=0,0,1)</f>
        <v>0</v>
      </c>
      <c r="C82" s="3" t="s">
        <v>0</v>
      </c>
      <c r="D82" s="431" t="s">
        <v>643</v>
      </c>
      <c r="E82" s="241">
        <f ca="1">SUMIF(COA!$F$6:$I$173,C82,COA!$I$6:$I$173)</f>
        <v>0</v>
      </c>
      <c r="F82" s="241" t="e">
        <f>SUMIF(COA!$F$6:$I$173,C82,COA!#REF!)</f>
        <v>#REF!</v>
      </c>
      <c r="G82" s="203"/>
      <c r="H82" s="235"/>
      <c r="I82" s="236">
        <f>I149</f>
        <v>0</v>
      </c>
      <c r="J82" s="236">
        <f>J149</f>
        <v>0</v>
      </c>
      <c r="K82" s="236">
        <f t="shared" ref="K82:N82" si="19">K149</f>
        <v>0</v>
      </c>
      <c r="L82" s="236">
        <f t="shared" si="19"/>
        <v>67111</v>
      </c>
      <c r="M82" s="236">
        <f t="shared" si="19"/>
        <v>0</v>
      </c>
      <c r="N82" s="236">
        <f t="shared" si="19"/>
        <v>0</v>
      </c>
    </row>
    <row r="83" spans="2:14" ht="15" customHeight="1">
      <c r="B83" s="246" t="s">
        <v>0</v>
      </c>
      <c r="C83" t="s">
        <v>0</v>
      </c>
      <c r="D83" s="245"/>
      <c r="E83" s="239">
        <f ca="1">SUM(E75:E82)</f>
        <v>702892.81000000192</v>
      </c>
      <c r="F83" s="239" t="e">
        <f>SUM(F75:F82)</f>
        <v>#REF!</v>
      </c>
      <c r="G83" s="234"/>
      <c r="H83" s="247"/>
      <c r="I83" s="498">
        <f>SUM(I75:I82)</f>
        <v>315533</v>
      </c>
      <c r="J83" s="498">
        <f>SUM(J75:J82)</f>
        <v>702893</v>
      </c>
      <c r="K83" s="498">
        <f t="shared" ref="K83:N83" si="20">SUM(K75:K82)</f>
        <v>490670</v>
      </c>
      <c r="L83" s="498">
        <f t="shared" si="20"/>
        <v>360110</v>
      </c>
      <c r="M83" s="498">
        <f t="shared" si="20"/>
        <v>366111</v>
      </c>
      <c r="N83" s="498">
        <f t="shared" si="20"/>
        <v>0</v>
      </c>
    </row>
    <row r="84" spans="2:14" ht="15" customHeight="1">
      <c r="B84" s="245"/>
      <c r="C84"/>
      <c r="D84" s="245"/>
      <c r="E84" s="250"/>
      <c r="F84" s="250"/>
      <c r="G84" s="245"/>
      <c r="H84" s="245"/>
      <c r="I84" s="236"/>
      <c r="J84" s="236"/>
    </row>
    <row r="85" spans="2:14" ht="15" customHeight="1">
      <c r="B85" s="246">
        <f>IF(I85+J85=0,0,1)</f>
        <v>1</v>
      </c>
      <c r="C85"/>
      <c r="D85" s="468" t="s">
        <v>264</v>
      </c>
      <c r="E85" s="241">
        <f>I131</f>
        <v>685321</v>
      </c>
      <c r="F85" s="241">
        <f>J131</f>
        <v>795540</v>
      </c>
      <c r="G85" s="203" t="s">
        <v>0</v>
      </c>
      <c r="H85" s="248"/>
      <c r="I85" s="234">
        <f>I131</f>
        <v>685321</v>
      </c>
      <c r="J85" s="234">
        <f>J131</f>
        <v>795540</v>
      </c>
      <c r="K85" s="234">
        <f t="shared" ref="K85:N85" si="21">K131</f>
        <v>1166296</v>
      </c>
      <c r="L85" s="234">
        <f t="shared" si="21"/>
        <v>1124941</v>
      </c>
      <c r="M85" s="234">
        <f t="shared" si="21"/>
        <v>963845</v>
      </c>
      <c r="N85" s="234">
        <f t="shared" si="21"/>
        <v>0</v>
      </c>
    </row>
    <row r="86" spans="2:14" ht="15" hidden="1" customHeight="1">
      <c r="B86" s="246">
        <f>IF(I86+J86=0,0,1)</f>
        <v>0</v>
      </c>
      <c r="C86"/>
      <c r="D86" s="245"/>
      <c r="E86" s="245"/>
      <c r="F86" s="245"/>
      <c r="G86" s="236" t="s">
        <v>0</v>
      </c>
      <c r="H86" s="245"/>
      <c r="I86" s="236"/>
      <c r="J86" s="236"/>
    </row>
    <row r="87" spans="2:14" ht="15" customHeight="1">
      <c r="B87" s="246">
        <f>IF(I87+J87=0,0,1)</f>
        <v>1</v>
      </c>
      <c r="C87"/>
      <c r="D87" s="468" t="s">
        <v>644</v>
      </c>
      <c r="E87" s="241">
        <f ca="1">SUMIF(COA!$F$6:$I$173,C87,COA!$I$6:$I$173)</f>
        <v>0</v>
      </c>
      <c r="F87" s="241" t="e">
        <f>SUMIF(COA!$F$6:$I$173,C87,COA!#REF!)</f>
        <v>#REF!</v>
      </c>
      <c r="G87" s="203" t="s">
        <v>0</v>
      </c>
      <c r="H87" s="248"/>
      <c r="I87" s="234">
        <f t="shared" ref="I87:N87" si="22">I159</f>
        <v>318967</v>
      </c>
      <c r="J87" s="234">
        <f t="shared" si="22"/>
        <v>95144</v>
      </c>
      <c r="K87" s="234">
        <f t="shared" si="22"/>
        <v>0</v>
      </c>
      <c r="L87" s="234">
        <f t="shared" si="22"/>
        <v>0</v>
      </c>
      <c r="M87" s="234">
        <f t="shared" si="22"/>
        <v>0</v>
      </c>
      <c r="N87" s="234">
        <f t="shared" si="22"/>
        <v>0</v>
      </c>
    </row>
    <row r="88" spans="2:14" ht="15" customHeight="1">
      <c r="B88" s="246">
        <f>IF(I88+J88=0,0,1)</f>
        <v>1</v>
      </c>
      <c r="C88" s="507" t="s">
        <v>1151</v>
      </c>
      <c r="D88" s="468" t="str">
        <f>UPPER(INDEX(TB_FS!C:C,MATCH(C88,TB_FS!B:B,0)))</f>
        <v>CASH SURRENDER OF LIFE INSURANCE</v>
      </c>
      <c r="E88" s="241">
        <f ca="1">SUMIF(COA!$F$6:$I$173,C88,COA!$I$6:$I$173)</f>
        <v>89801.2</v>
      </c>
      <c r="F88" s="241" t="e">
        <f>SUMIF(COA!$F$6:$I$173,C88,COA!#REF!)</f>
        <v>#REF!</v>
      </c>
      <c r="G88" s="203"/>
      <c r="H88" s="235"/>
      <c r="I88" s="258">
        <f>IFERROR(INDEX(TB_FS!D:D, MATCH(C88, TB_FS!B:B, 0)), 0)</f>
        <v>87341</v>
      </c>
      <c r="J88" s="258">
        <f>IFERROR(INDEX(TB_FS!E:E, MATCH($C$88, TB_FS!$B:$B, 0)), 0)</f>
        <v>89801</v>
      </c>
      <c r="K88" s="258">
        <f>IFERROR(INDEX(TB_FS!F:F, MATCH($C$88, TB_FS!$B:$B, 0)), 0)</f>
        <v>48743</v>
      </c>
      <c r="L88" s="258">
        <f>IFERROR(INDEX(TB_FS!G:G, MATCH($C$88, TB_FS!$B:$B, 0)), 0)</f>
        <v>39434</v>
      </c>
      <c r="M88" s="258">
        <f>IFERROR(INDEX(TB_FS!H:H, MATCH($C$88, TB_FS!$B:$B, 0)), 0)</f>
        <v>18605</v>
      </c>
      <c r="N88" s="258">
        <f>IFERROR(INDEX(TB_FS!I:I, MATCH($C$88, TB_FS!$B:$B, 0)), 0)</f>
        <v>0</v>
      </c>
    </row>
    <row r="89" spans="2:14" ht="15" customHeight="1">
      <c r="B89" s="236" t="s">
        <v>0</v>
      </c>
      <c r="C89"/>
      <c r="D89" s="245"/>
      <c r="E89" s="245"/>
      <c r="F89" s="245"/>
      <c r="G89" s="236"/>
      <c r="H89" s="245"/>
      <c r="I89" s="236"/>
      <c r="J89" s="236"/>
      <c r="K89" s="236"/>
      <c r="L89" s="236"/>
      <c r="M89" s="236"/>
      <c r="N89" s="236"/>
    </row>
    <row r="90" spans="2:14" ht="15" customHeight="1" thickBot="1">
      <c r="B90" s="236" t="s">
        <v>0</v>
      </c>
      <c r="C90"/>
      <c r="D90" s="453"/>
      <c r="E90" s="454" t="s">
        <v>0</v>
      </c>
      <c r="F90" s="454" t="s">
        <v>0</v>
      </c>
      <c r="G90" s="454"/>
      <c r="H90" s="455"/>
      <c r="I90" s="499">
        <f>I85+I83+I87+I88</f>
        <v>1407162</v>
      </c>
      <c r="J90" s="499">
        <f t="shared" ref="J90:N90" si="23">J85+J83+J87+J88</f>
        <v>1683378</v>
      </c>
      <c r="K90" s="499">
        <f t="shared" si="23"/>
        <v>1705709</v>
      </c>
      <c r="L90" s="499">
        <f t="shared" si="23"/>
        <v>1524485</v>
      </c>
      <c r="M90" s="499">
        <f t="shared" si="23"/>
        <v>1348561</v>
      </c>
      <c r="N90" s="499">
        <f t="shared" si="23"/>
        <v>0</v>
      </c>
    </row>
    <row r="91" spans="2:14" ht="15" customHeight="1" thickTop="1">
      <c r="B91" s="236" t="s">
        <v>0</v>
      </c>
      <c r="C91" s="240"/>
      <c r="D91" s="466" t="s">
        <v>539</v>
      </c>
      <c r="E91" s="245"/>
      <c r="F91" s="245"/>
      <c r="G91" s="236"/>
      <c r="H91" s="245"/>
      <c r="I91" s="236"/>
      <c r="J91" s="236"/>
    </row>
    <row r="92" spans="2:14" ht="15" customHeight="1">
      <c r="B92" s="236" t="s">
        <v>0</v>
      </c>
      <c r="C92" s="240" t="s">
        <v>0</v>
      </c>
      <c r="D92" s="467" t="s">
        <v>540</v>
      </c>
      <c r="E92" s="245"/>
      <c r="F92" s="245"/>
      <c r="G92" s="236"/>
      <c r="H92" s="245"/>
      <c r="I92" s="236"/>
      <c r="J92" s="236"/>
    </row>
    <row r="93" spans="2:14" ht="15" hidden="1" customHeight="1">
      <c r="B93" s="246">
        <f>IF(I93+J93=0,0,1)</f>
        <v>0</v>
      </c>
      <c r="C93" s="112"/>
      <c r="D93" s="431" t="s">
        <v>545</v>
      </c>
      <c r="E93" s="241"/>
      <c r="F93" s="241"/>
      <c r="G93" s="203" t="s">
        <v>0</v>
      </c>
      <c r="H93" s="235"/>
      <c r="I93" s="511">
        <f>ABS(IF(I278&lt;0.01,I278,0))</f>
        <v>0</v>
      </c>
      <c r="J93" s="511">
        <f>ABS(IF(J278&lt;0.01,J278,0))</f>
        <v>0</v>
      </c>
      <c r="K93" s="511">
        <f t="shared" ref="K93:N93" si="24">ABS(IF(K278&lt;0.01,K278,0))</f>
        <v>0</v>
      </c>
      <c r="L93" s="511">
        <f t="shared" si="24"/>
        <v>0</v>
      </c>
      <c r="M93" s="511">
        <f t="shared" si="24"/>
        <v>0</v>
      </c>
      <c r="N93" s="511">
        <f t="shared" si="24"/>
        <v>0</v>
      </c>
    </row>
    <row r="94" spans="2:14" ht="15" customHeight="1">
      <c r="B94" s="246">
        <f>IF(I94+J94=0,0,1)</f>
        <v>1</v>
      </c>
      <c r="C94" t="s">
        <v>553</v>
      </c>
      <c r="D94" s="431" t="str">
        <f>(INDEX(TB_FS!C:C,MATCH(C94,TB_FS!B:B,0)))</f>
        <v>Accounts payable</v>
      </c>
      <c r="E94" s="241">
        <f ca="1">SUMIF(COA!$F$6:$I$173,C94,COA!$I$6:$I$173)</f>
        <v>-142976.07000000044</v>
      </c>
      <c r="F94" s="241" t="e">
        <f>SUMIF(COA!$F$6:$I$173,C94,COA!#REF!)</f>
        <v>#REF!</v>
      </c>
      <c r="G94" s="236"/>
      <c r="H94" s="235"/>
      <c r="I94" s="236">
        <f>IFERROR(ABS(INDEX(TB_FS!D:D, MATCH(C94, TB_FS!B:B, 0))), "")+I114</f>
        <v>248439</v>
      </c>
      <c r="J94" s="236">
        <f>IFERROR(ABS(INDEX(TB_FS!E:E, MATCH($C$94, TB_FS!$B:$B, 0))), "")+J114</f>
        <v>142968</v>
      </c>
      <c r="K94" s="236">
        <f>IFERROR(ABS(INDEX(TB_FS!F:F, MATCH($C$94, TB_FS!$B:$B, 0))), "")+K114</f>
        <v>211769</v>
      </c>
      <c r="L94" s="236">
        <f>IFERROR(ABS(INDEX(TB_FS!G:G, MATCH($C$94, TB_FS!$B:$B, 0))), "")+L114</f>
        <v>167433</v>
      </c>
      <c r="M94" s="236">
        <f>IFERROR(ABS(INDEX(TB_FS!H:H, MATCH($C$94, TB_FS!$B:$B, 0))), "")+M114</f>
        <v>244213</v>
      </c>
      <c r="N94" s="236">
        <f>IFERROR(ABS(INDEX(TB_FS!I:I, MATCH($C$94, TB_FS!$B:$B, 0))), "")</f>
        <v>0</v>
      </c>
    </row>
    <row r="95" spans="2:14" ht="15" customHeight="1">
      <c r="B95" s="246">
        <f>IF(I95+J95=0,0,1)</f>
        <v>1</v>
      </c>
      <c r="C95" t="s">
        <v>554</v>
      </c>
      <c r="D95" s="431" t="str">
        <f>(INDEX(TB_FS!C:C,MATCH(C95,TB_FS!B:B,0)))</f>
        <v>Government Remittances</v>
      </c>
      <c r="E95" s="241">
        <f ca="1">SUMIF(COA!$F$6:$I$173,C95,COA!$I$6:$I$173)</f>
        <v>0</v>
      </c>
      <c r="F95" s="241" t="e">
        <f>SUMIF(COA!$F$6:$I$173,C95,COA!#REF!)</f>
        <v>#REF!</v>
      </c>
      <c r="G95" s="203"/>
      <c r="H95" s="235"/>
      <c r="I95" s="236">
        <f>IFERROR(ABS(INDEX(TB_FS!D:D, MATCH(C95, TB_FS!B:B, 0))), "")</f>
        <v>2667</v>
      </c>
      <c r="J95" s="236">
        <f>IFERROR(ABS(INDEX(TB_FS!E:E, MATCH($C$95, TB_FS!$B:$B, 0))), "")</f>
        <v>0</v>
      </c>
      <c r="K95" s="236">
        <f>IFERROR(ABS(INDEX(TB_FS!F:F, MATCH($C$95, TB_FS!$B:$B, 0))), "")</f>
        <v>0</v>
      </c>
      <c r="L95" s="236">
        <f>IFERROR(ABS(INDEX(TB_FS!G:G, MATCH($C$95, TB_FS!$B:$B, 0))), "")</f>
        <v>0</v>
      </c>
      <c r="M95" s="236">
        <f>IFERROR(ABS(INDEX(TB_FS!H:H, MATCH($C$95, TB_FS!$B:$B, 0))), "")</f>
        <v>0</v>
      </c>
      <c r="N95" s="236">
        <f>IFERROR(ABS(INDEX(TB_FS!I:I, MATCH($C$95, TB_FS!$B:$B, 0))), "")</f>
        <v>0</v>
      </c>
    </row>
    <row r="96" spans="2:14" ht="15" customHeight="1">
      <c r="B96" s="246">
        <f>IF(I96+J96=0,0,1)</f>
        <v>1</v>
      </c>
      <c r="C96" t="s">
        <v>555</v>
      </c>
      <c r="D96" s="431" t="str">
        <f>(INDEX(TB_FS!C:C,MATCH(C96,TB_FS!B:B,0)))</f>
        <v>Corporate Income Tax</v>
      </c>
      <c r="E96" s="241">
        <f ca="1">SUMIF(COA!$F$6:$I$173,C96,COA!$I$6:$I$173)</f>
        <v>-23061.100000000199</v>
      </c>
      <c r="F96" s="241" t="e">
        <f>SUMIF(COA!$F$6:$I$173,C96,COA!#REF!)</f>
        <v>#REF!</v>
      </c>
      <c r="G96" s="203"/>
      <c r="H96" s="235"/>
      <c r="I96" s="511">
        <f>ABS(IF(I286&lt;0.01,I286,0))</f>
        <v>4180</v>
      </c>
      <c r="J96" s="511">
        <f>ABS(IF(J286&lt;0.01,J286,0))</f>
        <v>23061</v>
      </c>
      <c r="K96" s="511">
        <f t="shared" ref="K96:N96" si="25">ABS(IF(K286&lt;0.01,K286,0))</f>
        <v>0</v>
      </c>
      <c r="L96" s="511">
        <f t="shared" si="25"/>
        <v>60315</v>
      </c>
      <c r="M96" s="511">
        <f t="shared" si="25"/>
        <v>5245</v>
      </c>
      <c r="N96" s="511">
        <f t="shared" si="25"/>
        <v>0</v>
      </c>
    </row>
    <row r="97" spans="2:14" ht="15" customHeight="1">
      <c r="B97" s="246" t="s">
        <v>0</v>
      </c>
      <c r="C97" s="112" t="s">
        <v>635</v>
      </c>
      <c r="D97" s="431" t="str">
        <f>(INDEX(TB_FS!C:C,MATCH(C97,TB_FS!B:B,0)))</f>
        <v>HST payable</v>
      </c>
      <c r="E97" s="241">
        <f ca="1">SUMIF(COA!$F$6:$I$173,C97,COA!$I$6:$I$173)</f>
        <v>-32215.760000000002</v>
      </c>
      <c r="F97" s="241" t="e">
        <f>SUMIF(COA!$F$6:$I$173,C97,COA!#REF!)</f>
        <v>#REF!</v>
      </c>
      <c r="G97" s="203"/>
      <c r="H97" s="235"/>
      <c r="I97" s="511">
        <f>ABS(IF(I284&lt;0.01,I284,0))</f>
        <v>58772</v>
      </c>
      <c r="J97" s="511">
        <f>ABS(IF(J284&lt;0.01,J284,0))</f>
        <v>32216</v>
      </c>
      <c r="K97" s="511">
        <f t="shared" ref="K97:N97" si="26">ABS(IF(K284&lt;0.01,K284,0))</f>
        <v>0</v>
      </c>
      <c r="L97" s="511">
        <f t="shared" si="26"/>
        <v>38307</v>
      </c>
      <c r="M97" s="511">
        <f t="shared" si="26"/>
        <v>2638</v>
      </c>
      <c r="N97" s="511">
        <f t="shared" si="26"/>
        <v>0</v>
      </c>
    </row>
    <row r="98" spans="2:14" ht="15" customHeight="1">
      <c r="B98" s="246" t="s">
        <v>0</v>
      </c>
      <c r="C98" s="112"/>
      <c r="D98" s="431" t="s">
        <v>646</v>
      </c>
      <c r="E98" s="241"/>
      <c r="F98" s="241"/>
      <c r="G98" s="203" t="s">
        <v>0</v>
      </c>
      <c r="H98" s="235"/>
      <c r="I98" s="511">
        <f>ABS(IF(I151&lt;0.01,I151,0))</f>
        <v>164955</v>
      </c>
      <c r="J98" s="511">
        <f>ABS(IF(J151&lt;0.01,J151,0))</f>
        <v>289463</v>
      </c>
      <c r="K98" s="511">
        <f t="shared" ref="K98:N98" si="27">ABS(IF(K151&lt;0.01,K151,0))</f>
        <v>111270</v>
      </c>
      <c r="L98" s="511">
        <f t="shared" si="27"/>
        <v>0</v>
      </c>
      <c r="M98" s="511">
        <f t="shared" si="27"/>
        <v>0</v>
      </c>
      <c r="N98" s="511">
        <f t="shared" si="27"/>
        <v>0</v>
      </c>
    </row>
    <row r="99" spans="2:14" ht="15" customHeight="1">
      <c r="B99" s="246" t="s">
        <v>0</v>
      </c>
      <c r="C99" t="s">
        <v>557</v>
      </c>
      <c r="D99" s="431" t="str">
        <f>(INDEX(TB_FS!C:C,MATCH(C99,TB_FS!B:B,0)))</f>
        <v>Current portion of term debt</v>
      </c>
      <c r="E99" s="241">
        <f ca="1">SUMIF(COA!$F$6:$I$173,C99,COA!$I$6:$I$173)</f>
        <v>0</v>
      </c>
      <c r="F99" s="241" t="e">
        <f>SUMIF(COA!$F$6:$I$173,C99,COA!#REF!)</f>
        <v>#REF!</v>
      </c>
      <c r="G99" s="203"/>
      <c r="H99" s="235"/>
      <c r="I99" s="236">
        <f>IFERROR(ABS(INDEX(TB_FS!D:D, MATCH($C$99, TB_FS!$B:$B, 0))), "")</f>
        <v>110400</v>
      </c>
      <c r="J99" s="236">
        <f>IFERROR(ABS(INDEX(TB_FS!E:E, MATCH($C$99, TB_FS!$B:$B, 0))), "")</f>
        <v>0</v>
      </c>
      <c r="K99" s="236">
        <f>IFERROR(ABS(INDEX(TB_FS!F:F, MATCH($C$99, TB_FS!$B:$B, 0))), "")</f>
        <v>0</v>
      </c>
      <c r="L99" s="236">
        <f>IFERROR(ABS(INDEX(TB_FS!G:G, MATCH($C$99, TB_FS!$B:$B, 0))), "")</f>
        <v>0</v>
      </c>
      <c r="M99" s="236">
        <f>IFERROR(ABS(INDEX(TB_FS!H:H, MATCH($C$99, TB_FS!$B:$B, 0))), "")</f>
        <v>0</v>
      </c>
      <c r="N99" s="236">
        <f>IFERROR(ABS(INDEX(TB_FS!I:I, MATCH($C$99, TB_FS!$B:$B, 0))), "")</f>
        <v>0</v>
      </c>
    </row>
    <row r="100" spans="2:14" ht="15" customHeight="1">
      <c r="B100" s="246" t="s">
        <v>0</v>
      </c>
      <c r="C100" t="s">
        <v>0</v>
      </c>
      <c r="D100" s="245"/>
      <c r="E100" s="239">
        <f ca="1">SUM(E91:E99)</f>
        <v>-198252.93000000066</v>
      </c>
      <c r="F100" s="239" t="e">
        <f>SUM(F91:F99)</f>
        <v>#REF!</v>
      </c>
      <c r="G100" s="234"/>
      <c r="H100" s="247"/>
      <c r="I100" s="498">
        <f t="shared" ref="I100:N100" si="28">SUM(I93:I99)</f>
        <v>589413</v>
      </c>
      <c r="J100" s="498">
        <f t="shared" si="28"/>
        <v>487708</v>
      </c>
      <c r="K100" s="498">
        <f t="shared" si="28"/>
        <v>323039</v>
      </c>
      <c r="L100" s="498">
        <f t="shared" si="28"/>
        <v>266055</v>
      </c>
      <c r="M100" s="498">
        <f t="shared" si="28"/>
        <v>252096</v>
      </c>
      <c r="N100" s="498">
        <f t="shared" si="28"/>
        <v>0</v>
      </c>
    </row>
    <row r="101" spans="2:14" ht="15" customHeight="1">
      <c r="B101" s="246" t="s">
        <v>0</v>
      </c>
      <c r="C101" s="240"/>
      <c r="D101" s="466" t="s">
        <v>294</v>
      </c>
      <c r="E101" s="234"/>
      <c r="F101" s="234"/>
      <c r="G101" s="234" t="s">
        <v>0</v>
      </c>
      <c r="H101" s="247"/>
      <c r="I101" s="234">
        <f>I182</f>
        <v>283711</v>
      </c>
      <c r="J101" s="234">
        <f>J182</f>
        <v>503563</v>
      </c>
      <c r="K101" s="234">
        <f t="shared" ref="K101:N101" si="29">K182</f>
        <v>614795</v>
      </c>
      <c r="L101" s="234">
        <f t="shared" si="29"/>
        <v>496165</v>
      </c>
      <c r="M101" s="234">
        <f t="shared" si="29"/>
        <v>320547</v>
      </c>
      <c r="N101" s="234">
        <f t="shared" si="29"/>
        <v>0</v>
      </c>
    </row>
    <row r="102" spans="2:14" ht="15" customHeight="1">
      <c r="B102" s="246" t="s">
        <v>0</v>
      </c>
      <c r="C102" s="240"/>
      <c r="D102" s="466" t="s">
        <v>642</v>
      </c>
      <c r="E102" s="234"/>
      <c r="F102" s="234"/>
      <c r="G102" s="234" t="s">
        <v>0</v>
      </c>
      <c r="H102" s="247"/>
      <c r="I102" s="511">
        <f>ABS(IF(I166&gt;0.01,I166,0))</f>
        <v>0</v>
      </c>
      <c r="J102" s="511">
        <f t="shared" ref="J102:N102" si="30">ABS(IF(J166&gt;0.01,J166,0))</f>
        <v>63166</v>
      </c>
      <c r="K102" s="511">
        <f t="shared" si="30"/>
        <v>0</v>
      </c>
      <c r="L102" s="511">
        <f t="shared" si="30"/>
        <v>0</v>
      </c>
      <c r="M102" s="511">
        <f t="shared" si="30"/>
        <v>0</v>
      </c>
      <c r="N102" s="511">
        <f t="shared" si="30"/>
        <v>0</v>
      </c>
    </row>
    <row r="103" spans="2:14" ht="15" customHeight="1">
      <c r="B103" s="246" t="s">
        <v>0</v>
      </c>
      <c r="C103" s="240"/>
      <c r="D103" s="472" t="s">
        <v>541</v>
      </c>
      <c r="E103" s="203"/>
      <c r="F103" s="203"/>
      <c r="G103" s="203" t="s">
        <v>0</v>
      </c>
      <c r="H103" s="248"/>
      <c r="I103" s="239">
        <f t="shared" ref="I103:N103" si="31">I102+I101+I100</f>
        <v>873124</v>
      </c>
      <c r="J103" s="239">
        <f t="shared" si="31"/>
        <v>1054437</v>
      </c>
      <c r="K103" s="239">
        <f t="shared" si="31"/>
        <v>937834</v>
      </c>
      <c r="L103" s="239">
        <f t="shared" si="31"/>
        <v>762220</v>
      </c>
      <c r="M103" s="239">
        <f t="shared" si="31"/>
        <v>572643</v>
      </c>
      <c r="N103" s="239">
        <f t="shared" si="31"/>
        <v>0</v>
      </c>
    </row>
    <row r="104" spans="2:14" ht="15" customHeight="1">
      <c r="B104" s="246" t="s">
        <v>0</v>
      </c>
      <c r="C104" s="240"/>
      <c r="D104" s="266"/>
      <c r="E104" s="203"/>
      <c r="F104" s="203"/>
      <c r="G104" s="203" t="s">
        <v>0</v>
      </c>
      <c r="H104" s="248"/>
      <c r="I104" s="234" t="s">
        <v>0</v>
      </c>
      <c r="J104" s="234" t="s">
        <v>0</v>
      </c>
    </row>
    <row r="105" spans="2:14" ht="15" customHeight="1">
      <c r="B105" s="236" t="s">
        <v>0</v>
      </c>
      <c r="C105" s="240" t="s">
        <v>0</v>
      </c>
      <c r="D105" s="466" t="s">
        <v>263</v>
      </c>
      <c r="E105" s="249"/>
      <c r="F105" s="249"/>
      <c r="G105" s="249"/>
      <c r="H105" s="249"/>
      <c r="I105" s="236"/>
      <c r="J105" s="236"/>
    </row>
    <row r="106" spans="2:14" ht="17.45" customHeight="1">
      <c r="B106" s="246">
        <f>IF(I106+J106=0,0,1)</f>
        <v>1</v>
      </c>
      <c r="C106" s="112" t="s">
        <v>435</v>
      </c>
      <c r="D106" s="431" t="str">
        <f>(INDEX(TB_FS!C:C,MATCH(C106,TB_FS!B:B,0)))</f>
        <v>Common shares</v>
      </c>
      <c r="E106" s="241">
        <f ca="1">SUMIF(COA!$F$6:$I$173,C106,COA!$I$6:$I$173)</f>
        <v>-106</v>
      </c>
      <c r="F106" s="241" t="e">
        <f>SUMIF(COA!$F$6:$I$173,C106,COA!#REF!)</f>
        <v>#REF!</v>
      </c>
      <c r="G106" s="203"/>
      <c r="H106" s="235"/>
      <c r="I106" s="236">
        <f>IFERROR(ABS(INDEX(TB_FS!D:D, MATCH($C$106, TB_FS!$B:$B, 0))), "")</f>
        <v>105</v>
      </c>
      <c r="J106" s="236">
        <f>IFERROR(ABS(INDEX(TB_FS!E:E, MATCH($C$106, TB_FS!$B:$B, 0))), "")</f>
        <v>106</v>
      </c>
      <c r="K106" s="236">
        <f>IFERROR(ABS(INDEX(TB_FS!F:F, MATCH($C$106, TB_FS!$B:$B, 0))), "")</f>
        <v>106</v>
      </c>
      <c r="L106" s="236">
        <f>IFERROR(ABS(INDEX(TB_FS!G:G, MATCH($C$106, TB_FS!$B:$B, 0))), "")</f>
        <v>106</v>
      </c>
      <c r="M106" s="236">
        <f>IFERROR(ABS(INDEX(TB_FS!H:H, MATCH($C$106, TB_FS!$B:$B, 0))), "")</f>
        <v>108</v>
      </c>
      <c r="N106" s="236">
        <f>IFERROR(ABS(INDEX(TB_FS!I:I, MATCH($C$106, TB_FS!$B:$B, 0))), "")</f>
        <v>0</v>
      </c>
    </row>
    <row r="107" spans="2:14" ht="15" hidden="1" customHeight="1">
      <c r="B107" s="246">
        <f>IF(I107+J107=0,0,1)</f>
        <v>0</v>
      </c>
      <c r="C107" s="240">
        <v>3520</v>
      </c>
      <c r="D107" s="431" t="str">
        <f>INDEX(M_COA[FS_LINE],MATCH(C107,M_COA[IFSL],0))</f>
        <v>Preferred shares</v>
      </c>
      <c r="E107" s="203">
        <f ca="1">SUMIF(COA!$F$6:$I$173,C107,COA!$I$6:$I$173)</f>
        <v>0</v>
      </c>
      <c r="F107" s="203" t="e">
        <f>SUMIF(COA!$F$6:$I$173,C107,COA!#REF!)</f>
        <v>#REF!</v>
      </c>
      <c r="G107" s="203"/>
      <c r="H107" s="248"/>
      <c r="I107" s="236">
        <f>IFERROR(ABS(INDEX(TB_FS!D:D, MATCH($C$107, TB_FS!$B:$B, 0))), 0)</f>
        <v>0</v>
      </c>
      <c r="J107" s="236">
        <f>IFERROR(ABS(INDEX(TB_FS!E:E, MATCH(D107, TB_FS!C:C, 0))), "")</f>
        <v>0</v>
      </c>
      <c r="K107" s="236">
        <f>IFERROR(ABS(INDEX(TB_FS!F:F, MATCH($C$107, TB_FS!$B:$B, 0))), 0)</f>
        <v>0</v>
      </c>
      <c r="L107" s="236" t="str">
        <f>IFERROR(ABS(INDEX(TB_FS!G:G, MATCH(F107, TB_FS!E:E, 0))), "")</f>
        <v/>
      </c>
      <c r="M107" s="236">
        <f>IFERROR(ABS(INDEX(TB_FS!H:H, MATCH($C$107, TB_FS!$B:$B, 0))), 0)</f>
        <v>0</v>
      </c>
      <c r="N107" s="236">
        <f>IFERROR(ABS(INDEX(TB_FS!I:I, MATCH(H107, TB_FS!G:G, 0))), "")</f>
        <v>0</v>
      </c>
    </row>
    <row r="108" spans="2:14" ht="15" customHeight="1">
      <c r="B108" s="246">
        <f>IF(I108+J108=0,0,1)</f>
        <v>1</v>
      </c>
      <c r="C108" s="240">
        <v>3660</v>
      </c>
      <c r="D108" s="431" t="str">
        <f>INDEX(M_COA[FS_LINE],MATCH(C108,M_COA[IFSL],0))</f>
        <v>Retained earnings</v>
      </c>
      <c r="E108" s="203">
        <f ca="1">E65</f>
        <v>-4064892.9700000021</v>
      </c>
      <c r="F108" s="203" t="e">
        <f>F65</f>
        <v>#REF!</v>
      </c>
      <c r="G108" s="203"/>
      <c r="H108" s="247"/>
      <c r="I108" s="250">
        <f t="shared" ref="I108:N108" si="32">I65</f>
        <v>533933</v>
      </c>
      <c r="J108" s="250">
        <f t="shared" si="32"/>
        <v>628835</v>
      </c>
      <c r="K108" s="250">
        <f t="shared" si="32"/>
        <v>594653</v>
      </c>
      <c r="L108" s="250">
        <f t="shared" si="32"/>
        <v>446028</v>
      </c>
      <c r="M108" s="250">
        <f t="shared" si="32"/>
        <v>169225</v>
      </c>
      <c r="N108" s="250">
        <f t="shared" si="32"/>
        <v>0</v>
      </c>
    </row>
    <row r="109" spans="2:14" ht="17.45" customHeight="1">
      <c r="B109" s="246" t="s">
        <v>0</v>
      </c>
      <c r="C109" s="240" t="s">
        <v>1</v>
      </c>
      <c r="D109" s="245"/>
      <c r="E109" s="239">
        <f ca="1">SUM(E105:E108)</f>
        <v>-4064998.9700000021</v>
      </c>
      <c r="F109" s="239" t="e">
        <f>SUM(F105:F108)</f>
        <v>#REF!</v>
      </c>
      <c r="G109" s="234"/>
      <c r="H109" s="247"/>
      <c r="I109" s="239">
        <f>SUM(I106:I108)</f>
        <v>534038</v>
      </c>
      <c r="J109" s="239">
        <f>SUM(J106:J108)</f>
        <v>628941</v>
      </c>
      <c r="K109" s="239">
        <f t="shared" ref="K109:N109" si="33">SUM(K106:K108)</f>
        <v>594759</v>
      </c>
      <c r="L109" s="239">
        <f t="shared" si="33"/>
        <v>446134</v>
      </c>
      <c r="M109" s="239">
        <f t="shared" si="33"/>
        <v>169333</v>
      </c>
      <c r="N109" s="239">
        <f t="shared" si="33"/>
        <v>0</v>
      </c>
    </row>
    <row r="110" spans="2:14" ht="15" hidden="1" customHeight="1">
      <c r="B110" s="246">
        <f>IF(I110+J110=0,0,1)</f>
        <v>0</v>
      </c>
      <c r="C110" s="240"/>
      <c r="D110" s="245"/>
      <c r="E110" s="245"/>
      <c r="F110" s="245"/>
      <c r="G110" s="236" t="s">
        <v>0</v>
      </c>
      <c r="H110" s="245"/>
      <c r="I110" s="236"/>
      <c r="J110" s="236"/>
    </row>
    <row r="111" spans="2:14" ht="17.45" customHeight="1" thickBot="1">
      <c r="B111" s="246" t="s">
        <v>0</v>
      </c>
      <c r="C111" s="240" t="s">
        <v>0</v>
      </c>
      <c r="D111" s="453"/>
      <c r="E111" s="456"/>
      <c r="F111" s="456"/>
      <c r="G111" s="454"/>
      <c r="H111" s="455"/>
      <c r="I111" s="499">
        <f t="shared" ref="I111:N111" si="34">I109+I103</f>
        <v>1407162</v>
      </c>
      <c r="J111" s="499">
        <f t="shared" si="34"/>
        <v>1683378</v>
      </c>
      <c r="K111" s="499">
        <f t="shared" si="34"/>
        <v>1532593</v>
      </c>
      <c r="L111" s="499">
        <f t="shared" si="34"/>
        <v>1208354</v>
      </c>
      <c r="M111" s="499">
        <f t="shared" si="34"/>
        <v>741976</v>
      </c>
      <c r="N111" s="499">
        <f t="shared" si="34"/>
        <v>0</v>
      </c>
    </row>
    <row r="112" spans="2:14" ht="15" customHeight="1" thickTop="1">
      <c r="B112" s="246"/>
      <c r="C112" s="240"/>
      <c r="D112" s="245"/>
      <c r="E112" s="245"/>
      <c r="F112" s="245"/>
      <c r="G112" s="236"/>
      <c r="H112" s="244"/>
      <c r="I112" s="234"/>
      <c r="J112" s="234"/>
    </row>
    <row r="113" spans="2:14" ht="15" hidden="1" customHeight="1">
      <c r="B113" s="246">
        <v>0</v>
      </c>
      <c r="C113" s="240"/>
      <c r="D113" s="245"/>
      <c r="E113" s="244" t="s">
        <v>0</v>
      </c>
      <c r="F113" s="244" t="s">
        <v>0</v>
      </c>
      <c r="G113" s="244"/>
      <c r="H113" s="244"/>
      <c r="I113" s="234">
        <f t="shared" ref="I113:N113" si="35">I111-I90</f>
        <v>0</v>
      </c>
      <c r="J113" s="234">
        <f t="shared" si="35"/>
        <v>0</v>
      </c>
      <c r="K113" s="234">
        <f t="shared" si="35"/>
        <v>-173116</v>
      </c>
      <c r="L113" s="234">
        <f t="shared" si="35"/>
        <v>-316131</v>
      </c>
      <c r="M113" s="234">
        <f t="shared" si="35"/>
        <v>-606585</v>
      </c>
      <c r="N113" s="234">
        <f t="shared" si="35"/>
        <v>0</v>
      </c>
    </row>
    <row r="114" spans="2:14" ht="15" hidden="1" customHeight="1">
      <c r="B114" s="246">
        <v>0</v>
      </c>
      <c r="C114" s="240"/>
      <c r="D114" s="245"/>
      <c r="E114" s="244"/>
      <c r="F114" s="244"/>
      <c r="G114" s="244"/>
      <c r="H114" s="244"/>
      <c r="I114" s="745">
        <v>-9</v>
      </c>
      <c r="J114" s="745">
        <v>-9</v>
      </c>
      <c r="K114" s="746">
        <v>-7</v>
      </c>
      <c r="L114" s="746">
        <v>-4</v>
      </c>
      <c r="M114" s="746">
        <v>-1</v>
      </c>
    </row>
    <row r="115" spans="2:14" ht="17.45" customHeight="1">
      <c r="B115" s="246"/>
      <c r="C115" s="240"/>
      <c r="D115" s="245"/>
      <c r="E115" s="244"/>
      <c r="F115" s="244"/>
      <c r="G115" s="244"/>
      <c r="H115" s="244"/>
      <c r="I115" s="234"/>
      <c r="J115" s="234"/>
    </row>
    <row r="116" spans="2:14" ht="15" customHeight="1">
      <c r="B116" s="246" t="s">
        <v>0</v>
      </c>
      <c r="C116" s="240"/>
      <c r="D116" s="245"/>
      <c r="E116" s="244" t="s">
        <v>0</v>
      </c>
      <c r="F116" s="244" t="s">
        <v>0</v>
      </c>
      <c r="G116" s="244"/>
      <c r="H116" s="244"/>
      <c r="I116" s="234"/>
      <c r="J116" s="234"/>
    </row>
    <row r="117" spans="2:14" ht="15" customHeight="1">
      <c r="B117" s="246" t="s">
        <v>0</v>
      </c>
      <c r="C117" s="240"/>
      <c r="D117" s="252" t="s">
        <v>0</v>
      </c>
      <c r="E117" s="296"/>
      <c r="F117" s="296"/>
      <c r="G117" s="296"/>
      <c r="H117" s="296"/>
      <c r="I117" s="500"/>
      <c r="J117" s="556"/>
      <c r="M117" s="494" t="str">
        <f>UPPER(COA!$B$2)</f>
        <v>ANONYMOUS COMPANY</v>
      </c>
    </row>
    <row r="118" spans="2:14" ht="15" customHeight="1">
      <c r="B118" s="246" t="s">
        <v>0</v>
      </c>
      <c r="C118" s="240"/>
      <c r="D118" s="333" t="s">
        <v>0</v>
      </c>
      <c r="E118" s="296"/>
      <c r="F118" s="296"/>
      <c r="G118" s="296"/>
      <c r="H118" s="296"/>
      <c r="I118" s="234"/>
      <c r="J118" s="556"/>
      <c r="M118" s="495" t="s">
        <v>303</v>
      </c>
    </row>
    <row r="119" spans="2:14" ht="15" customHeight="1" thickBot="1">
      <c r="B119" s="246" t="s">
        <v>0</v>
      </c>
      <c r="C119" s="240"/>
      <c r="D119" s="448" t="s">
        <v>0</v>
      </c>
      <c r="E119" s="458"/>
      <c r="F119" s="458"/>
      <c r="G119" s="458"/>
      <c r="H119" s="458"/>
      <c r="I119" s="501"/>
      <c r="J119" s="501"/>
      <c r="K119" s="452"/>
      <c r="L119" s="452"/>
      <c r="M119" s="497" t="str">
        <f>"As at "&amp;(TEXT(COA!$B$4,"MMMM DD, YYYY"))</f>
        <v>As at December 31, 2025</v>
      </c>
    </row>
    <row r="120" spans="2:14" ht="15" customHeight="1" thickTop="1">
      <c r="B120" s="246" t="s">
        <v>0</v>
      </c>
      <c r="C120" s="240"/>
      <c r="D120" s="457"/>
      <c r="E120" s="238"/>
      <c r="F120" s="238"/>
      <c r="G120" s="334"/>
      <c r="H120" s="238"/>
      <c r="I120" s="445">
        <f>YEAR(COA!$B$4)</f>
        <v>2025</v>
      </c>
      <c r="J120" s="446">
        <f>R_FS[[#This Row],[CY]]-1</f>
        <v>2024</v>
      </c>
      <c r="K120" s="447">
        <f>R_FS[[#This Row],[PY]]-1</f>
        <v>2023</v>
      </c>
      <c r="L120" s="447">
        <f>R_FS[[#This Row],[PY2]]-1</f>
        <v>2022</v>
      </c>
      <c r="M120" s="447">
        <f>R_FS[[#This Row],[PY3]]-1</f>
        <v>2021</v>
      </c>
      <c r="N120" s="447">
        <f>R_FS[[#This Row],[PY4]]-1</f>
        <v>2020</v>
      </c>
    </row>
    <row r="121" spans="2:14" ht="17.45" customHeight="1">
      <c r="B121" s="246" t="s">
        <v>0</v>
      </c>
      <c r="C121" s="240"/>
      <c r="D121" s="237"/>
      <c r="E121" s="237"/>
      <c r="F121" s="237"/>
      <c r="G121" s="297"/>
      <c r="H121" s="237"/>
      <c r="I121" s="358" t="s">
        <v>260</v>
      </c>
      <c r="J121" s="359" t="s">
        <v>260</v>
      </c>
      <c r="K121" s="358" t="s">
        <v>260</v>
      </c>
      <c r="L121" s="358" t="s">
        <v>260</v>
      </c>
      <c r="M121" s="358" t="s">
        <v>260</v>
      </c>
      <c r="N121" s="358" t="s">
        <v>260</v>
      </c>
    </row>
    <row r="122" spans="2:14" ht="15" customHeight="1">
      <c r="B122" s="246" t="s">
        <v>0</v>
      </c>
      <c r="C122" s="246" t="s">
        <v>0</v>
      </c>
      <c r="D122" s="246" t="s">
        <v>0</v>
      </c>
      <c r="E122" s="235"/>
      <c r="F122" s="235"/>
      <c r="G122" s="246" t="s">
        <v>0</v>
      </c>
      <c r="H122" s="246" t="s">
        <v>0</v>
      </c>
      <c r="I122" s="246" t="s">
        <v>0</v>
      </c>
      <c r="J122" s="246" t="s">
        <v>0</v>
      </c>
      <c r="K122" s="246" t="s">
        <v>0</v>
      </c>
      <c r="L122" s="246" t="s">
        <v>0</v>
      </c>
      <c r="M122" s="246" t="s">
        <v>0</v>
      </c>
      <c r="N122" s="246" t="s">
        <v>0</v>
      </c>
    </row>
    <row r="123" spans="2:14" ht="15" customHeight="1">
      <c r="B123" s="246" t="s">
        <v>0</v>
      </c>
      <c r="C123" s="240"/>
      <c r="D123" s="465" t="s">
        <v>264</v>
      </c>
      <c r="E123" s="235"/>
      <c r="F123" s="235"/>
      <c r="G123" s="335" t="s">
        <v>255</v>
      </c>
      <c r="H123" s="336" t="s">
        <v>304</v>
      </c>
      <c r="I123" s="268" t="s">
        <v>0</v>
      </c>
      <c r="J123" s="295" t="s">
        <v>0</v>
      </c>
      <c r="K123" s="268"/>
      <c r="L123" s="268"/>
      <c r="M123" s="268"/>
      <c r="N123" s="268"/>
    </row>
    <row r="124" spans="2:14" ht="15" customHeight="1">
      <c r="B124" s="246"/>
      <c r="C124" s="489" t="s">
        <v>388</v>
      </c>
      <c r="D124" s="431" t="str">
        <f>(INDEX(TB_FS!C:C,MATCH(C124,TB_FS!B:B,0)))</f>
        <v>Land</v>
      </c>
      <c r="E124" s="203">
        <f ca="1">SUMIF(COA!$F$6:$I$173,C124,COA!$I$6:$I$173)</f>
        <v>0</v>
      </c>
      <c r="F124" s="203" t="e">
        <f>SUMIF(COA!$F$6:$I$173,C124,COA!#REF!)</f>
        <v>#REF!</v>
      </c>
      <c r="G124" s="236">
        <f>IFERROR(INDEX(TB_FS!D:D, MATCH(C124, TB_FS!B:B, 0)), 0)</f>
        <v>0</v>
      </c>
      <c r="H124" s="236">
        <f>IFERROR(INDEX(TB_FS!E:E, MATCH(D124, TB_FS!C:C, 0)), 0)</f>
        <v>0</v>
      </c>
      <c r="I124" s="511">
        <f>R_FS[[#This Row],[Cost]]+R_FS[[#This Row],[Accumulated amortization]]</f>
        <v>0</v>
      </c>
      <c r="J124" s="236">
        <f>IFERROR(INDEX(TB_FS!E:E, MATCH($C$124, TB_FS!$B:$B, 0)), 0)</f>
        <v>0</v>
      </c>
      <c r="K124" s="236">
        <f>IFERROR(INDEX(TB_FS!F:F, MATCH($C$124, TB_FS!$B:$B, 0)), 0)</f>
        <v>0</v>
      </c>
      <c r="L124" s="236">
        <f>IFERROR(INDEX(TB_FS!G:G, MATCH($C$124, TB_FS!$B:$B, 0)), 0)</f>
        <v>0</v>
      </c>
      <c r="M124" s="236">
        <f>IFERROR(INDEX(TB_FS!H:H, MATCH($C$124, TB_FS!$B:$B, 0)), 0)</f>
        <v>0</v>
      </c>
      <c r="N124" s="236">
        <f>IFERROR(INDEX(TB_FS!I:I, MATCH($C$124, TB_FS!$B:$B, 0)), 0)</f>
        <v>0</v>
      </c>
    </row>
    <row r="125" spans="2:14" ht="15" hidden="1" customHeight="1">
      <c r="B125" s="246">
        <f t="shared" ref="B125:B130" si="36">IF(I125+J125=0,0,1)</f>
        <v>0</v>
      </c>
      <c r="C125" s="489" t="s">
        <v>389</v>
      </c>
      <c r="D125" s="431" t="str">
        <f>(INDEX(TB_FS!C:C,MATCH(C125,TB_FS!B:B,0)))</f>
        <v>Building</v>
      </c>
      <c r="E125" s="203"/>
      <c r="F125" s="203"/>
      <c r="G125" s="236">
        <f>IFERROR(INDEX(TB_FS!D:D, MATCH($C$125, TB_FS!$B:$B, 0)), 0)</f>
        <v>0</v>
      </c>
      <c r="H125" s="236">
        <f>IFERROR(ABS(INDEX(TB_FS!D:D, MATCH($C$133, TB_FS!$B:$B, 0))), "")</f>
        <v>0</v>
      </c>
      <c r="I125" s="511">
        <f>R_FS[[#This Row],[Cost]]-R_FS[[#This Row],[Accumulated amortization]]</f>
        <v>0</v>
      </c>
      <c r="J125" s="236">
        <f>IFERROR(INDEX(TB_FS!E:E,MATCH($C$125,TB_FS!$B:$B,0)),0)+(INDEX(TB_FS!E:E,MATCH($C$133,TB_FS!$B:$B,0)))</f>
        <v>0</v>
      </c>
      <c r="K125" s="236">
        <f>IFERROR(INDEX(TB_FS!F:F,MATCH($C$125,TB_FS!$B:$B,0)),0)+(INDEX(TB_FS!F:F,MATCH($C$133,TB_FS!$B:$B,0)))</f>
        <v>0</v>
      </c>
      <c r="L125" s="236">
        <f>IFERROR(INDEX(TB_FS!G:G,MATCH($C$125,TB_FS!$B:$B,0)),0)+(INDEX(TB_FS!G:G,MATCH($C$133,TB_FS!$B:$B,0)))</f>
        <v>0</v>
      </c>
      <c r="M125" s="236">
        <f>IFERROR(INDEX(TB_FS!H:H,MATCH($C$125,TB_FS!$B:$B,0)),0)+(INDEX(TB_FS!H:H,MATCH($C$133,TB_FS!$B:$B,0)))</f>
        <v>0</v>
      </c>
      <c r="N125" s="236">
        <f>IFERROR(INDEX(TB_FS!I:I,MATCH($C$125,TB_FS!$B:$B,0)),0)+(INDEX(TB_FS!I:I,MATCH($C$133,TB_FS!$B:$B,0)))</f>
        <v>0</v>
      </c>
    </row>
    <row r="126" spans="2:14" ht="15" customHeight="1">
      <c r="B126" s="246">
        <f t="shared" si="36"/>
        <v>1</v>
      </c>
      <c r="C126" s="53" t="s">
        <v>551</v>
      </c>
      <c r="D126" s="431" t="str">
        <f>(INDEX(TB_FS!C:C,MATCH(C126,TB_FS!B:B,0)))</f>
        <v>Automobile</v>
      </c>
      <c r="E126" s="203"/>
      <c r="F126" s="203"/>
      <c r="G126" s="236">
        <f>IFERROR(INDEX(TB_FS!D:D, MATCH(C126, TB_FS!B:B, 0)), 0)</f>
        <v>32594</v>
      </c>
      <c r="H126" s="236">
        <f>IFERROR(ABS(INDEX(TB_FS!D:D, MATCH($C$134, TB_FS!$B:$B, 0))), "")</f>
        <v>29117</v>
      </c>
      <c r="I126" s="511">
        <f>R_FS[[#This Row],[Cost]]-R_FS[[#This Row],[Accumulated amortization]]</f>
        <v>3477</v>
      </c>
      <c r="J126" s="236">
        <f>IFERROR(INDEX(TB_FS!E:E,MATCH($C$126,TB_FS!$B:$B,0)),0)+(INDEX(TB_FS!E:E,MATCH($C$134,TB_FS!$B:$B,0)))</f>
        <v>22642</v>
      </c>
      <c r="K126" s="236">
        <f>IFERROR(INDEX(TB_FS!F:F,MATCH($C$126,TB_FS!$B:$B,0)),0)+(INDEX(TB_FS!F:F,MATCH($C$134,TB_FS!$B:$B,0)))</f>
        <v>29768</v>
      </c>
      <c r="L126" s="236">
        <f>IFERROR(INDEX(TB_FS!G:G,MATCH($C$126,TB_FS!$B:$B,0)),0)+(INDEX(TB_FS!G:G,MATCH($C$134,TB_FS!$B:$B,0)))</f>
        <v>37068</v>
      </c>
      <c r="M126" s="236">
        <f>IFERROR(INDEX(TB_FS!H:H,MATCH($C$126,TB_FS!$B:$B,0)),0)+(INDEX(TB_FS!H:H,MATCH($C$134,TB_FS!$B:$B,0)))</f>
        <v>52954</v>
      </c>
      <c r="N126" s="236">
        <f>IFERROR(INDEX(TB_FS!I:I,MATCH($C$126,TB_FS!$B:$B,0)),0)+(INDEX(TB_FS!I:I,MATCH($C$134,TB_FS!$B:$B,0)))</f>
        <v>0</v>
      </c>
    </row>
    <row r="127" spans="2:14" ht="15" customHeight="1">
      <c r="B127" s="246">
        <f t="shared" si="36"/>
        <v>1</v>
      </c>
      <c r="C127" s="491" t="s">
        <v>391</v>
      </c>
      <c r="D127" s="431" t="str">
        <f>(INDEX(TB_FS!C:C,MATCH(C127,TB_FS!B:B,0)))</f>
        <v>Equipment</v>
      </c>
      <c r="E127" s="203"/>
      <c r="F127" s="203"/>
      <c r="G127" s="236">
        <f>IFERROR(INDEX(TB_FS!D:D, MATCH(C127, TB_FS!B:B, 0)), 0)</f>
        <v>907431</v>
      </c>
      <c r="H127" s="236">
        <f>IFERROR(ABS(INDEX(TB_FS!D:D, MATCH($C$135, TB_FS!$B:$B, 0))), "")</f>
        <v>637006</v>
      </c>
      <c r="I127" s="511">
        <f>R_FS[[#This Row],[Cost]]-R_FS[[#This Row],[Accumulated amortization]]</f>
        <v>270425</v>
      </c>
      <c r="J127" s="236">
        <f>IFERROR(INDEX(TB_FS!E:E,MATCH($C$127,TB_FS!$B:$B,0)),0)+(INDEX(TB_FS!E:E,MATCH($C$135,TB_FS!$B:$B,0)))</f>
        <v>271158</v>
      </c>
      <c r="K127" s="236">
        <f>IFERROR(INDEX(TB_FS!F:F,MATCH($C$127,TB_FS!$B:$B,0)),0)+(INDEX(TB_FS!F:F,MATCH($C$135,TB_FS!$B:$B,0)))</f>
        <v>523642</v>
      </c>
      <c r="L127" s="236">
        <f>IFERROR(INDEX(TB_FS!G:G,MATCH($C$127,TB_FS!$B:$B,0)),0)+(INDEX(TB_FS!G:G,MATCH($C$135,TB_FS!$B:$B,0)))</f>
        <v>505006</v>
      </c>
      <c r="M127" s="236">
        <f>IFERROR(INDEX(TB_FS!H:H,MATCH($C$127,TB_FS!$B:$B,0)),0)+(INDEX(TB_FS!H:H,MATCH($C$135,TB_FS!$B:$B,0)))</f>
        <v>444952</v>
      </c>
      <c r="N127" s="236">
        <f>IFERROR(INDEX(TB_FS!I:I,MATCH($C$127,TB_FS!$B:$B,0)),0)+(INDEX(TB_FS!I:I,MATCH($C$135,TB_FS!$B:$B,0)))</f>
        <v>0</v>
      </c>
    </row>
    <row r="128" spans="2:14" ht="15" customHeight="1">
      <c r="B128" s="246">
        <f t="shared" si="36"/>
        <v>1</v>
      </c>
      <c r="C128" s="489" t="s">
        <v>394</v>
      </c>
      <c r="D128" s="431" t="str">
        <f>(INDEX(TB_FS!C:C,MATCH(C128,TB_FS!B:B,0)))</f>
        <v>Computer</v>
      </c>
      <c r="E128" s="203"/>
      <c r="F128" s="203"/>
      <c r="G128" s="236">
        <f>IFERROR(INDEX(TB_FS!D:D, MATCH(C128, TB_FS!B:B, 0)), 0)</f>
        <v>88952</v>
      </c>
      <c r="H128" s="236">
        <f>IFERROR(ABS(INDEX(TB_FS!D:D, MATCH($C$136, TB_FS!$B:$B, 0))), "")</f>
        <v>63487</v>
      </c>
      <c r="I128" s="511">
        <f>R_FS[[#This Row],[Cost]]-R_FS[[#This Row],[Accumulated amortization]]</f>
        <v>25465</v>
      </c>
      <c r="J128" s="236">
        <f>IFERROR(INDEX(TB_FS!E:E,MATCH($C$128,TB_FS!$B:$B,0)),0)+(INDEX(TB_FS!E:E,MATCH($C$136,TB_FS!$B:$B,0)))</f>
        <v>19298</v>
      </c>
      <c r="K128" s="236">
        <f>IFERROR(INDEX(TB_FS!F:F,MATCH($C$128,TB_FS!$B:$B,0)),0)+(INDEX(TB_FS!F:F,MATCH($C$136,TB_FS!$B:$B,0)))</f>
        <v>32133</v>
      </c>
      <c r="L128" s="236">
        <f>IFERROR(INDEX(TB_FS!G:G,MATCH($C$128,TB_FS!$B:$B,0)),0)+(INDEX(TB_FS!G:G,MATCH($C$136,TB_FS!$B:$B,0)))</f>
        <v>16834</v>
      </c>
      <c r="M128" s="236">
        <f>IFERROR(INDEX(TB_FS!H:H,MATCH($C$128,TB_FS!$B:$B,0)),0)+(INDEX(TB_FS!H:H,MATCH($C$136,TB_FS!$B:$B,0)))</f>
        <v>27758</v>
      </c>
      <c r="N128" s="236">
        <f>IFERROR(INDEX(TB_FS!I:I,MATCH($C$128,TB_FS!$B:$B,0)),0)+(INDEX(TB_FS!I:I,MATCH($C$136,TB_FS!$B:$B,0)))</f>
        <v>0</v>
      </c>
    </row>
    <row r="129" spans="2:15" ht="15" customHeight="1">
      <c r="B129" s="246">
        <f t="shared" si="36"/>
        <v>1</v>
      </c>
      <c r="C129" s="491" t="s">
        <v>1144</v>
      </c>
      <c r="D129" s="431" t="str">
        <f>(INDEX(TB_FS!C:C,MATCH(C129,TB_FS!B:B,0)))</f>
        <v xml:space="preserve">Leasehold improvements </v>
      </c>
      <c r="E129" s="203"/>
      <c r="F129" s="203"/>
      <c r="G129" s="236">
        <f>IFERROR(INDEX(TB_FS!D:D, MATCH(C129, TB_FS!B:B, 0)), 0)</f>
        <v>874942</v>
      </c>
      <c r="H129" s="236">
        <f>IFERROR(ABS(INDEX(TB_FS!D:D, MATCH($C$137, TB_FS!$B:$B, 0))), "")</f>
        <v>503688</v>
      </c>
      <c r="I129" s="511">
        <f>R_FS[[#This Row],[Cost]]-R_FS[[#This Row],[Accumulated amortization]]</f>
        <v>371254</v>
      </c>
      <c r="J129" s="236">
        <f>IFERROR(INDEX(TB_FS!E:E,MATCH($C$129,TB_FS!$B:$B,0)),0)+(INDEX(TB_FS!E:E,MATCH($C$137,TB_FS!$B:$B,0)))</f>
        <v>464067</v>
      </c>
      <c r="K129" s="236">
        <f>IFERROR(INDEX(TB_FS!F:F,MATCH($C$129,TB_FS!$B:$B,0)),0)+(INDEX(TB_FS!F:F,MATCH($C$137,TB_FS!$B:$B,0)))</f>
        <v>556355</v>
      </c>
      <c r="L129" s="236">
        <f>IFERROR(INDEX(TB_FS!G:G,MATCH($C$129,TB_FS!$B:$B,0)),0)+(INDEX(TB_FS!G:G,MATCH($C$137,TB_FS!$B:$B,0)))</f>
        <v>539856</v>
      </c>
      <c r="M129" s="236">
        <f>IFERROR(INDEX(TB_FS!H:H,MATCH($C$129,TB_FS!$B:$B,0)),0)+(INDEX(TB_FS!H:H,MATCH($C$137,TB_FS!$B:$B,0)))</f>
        <v>408958</v>
      </c>
      <c r="N129" s="236">
        <f>IFERROR(INDEX(TB_FS!I:I,MATCH($C$129,TB_FS!$B:$B,0)),0)+(INDEX(TB_FS!I:I,MATCH($C$137,TB_FS!$B:$B,0)))</f>
        <v>0</v>
      </c>
    </row>
    <row r="130" spans="2:15" ht="15" customHeight="1">
      <c r="B130" s="246">
        <f t="shared" si="36"/>
        <v>1</v>
      </c>
      <c r="C130" s="491" t="s">
        <v>1149</v>
      </c>
      <c r="D130" s="431" t="str">
        <f>(INDEX(TB_FS!C:C,MATCH(C130,TB_FS!B:B,0)))</f>
        <v>Franchise Fees</v>
      </c>
      <c r="E130" s="203"/>
      <c r="F130" s="203"/>
      <c r="G130" s="236">
        <f>IFERROR(INDEX(TB_FS!D:D, MATCH(C130, TB_FS!B:B, 0)), 0)</f>
        <v>62250</v>
      </c>
      <c r="H130" s="236">
        <f>IFERROR(ABS(INDEX(TB_FS!D:D, MATCH($C$138, TB_FS!$B:$B, 0))), "")</f>
        <v>47550</v>
      </c>
      <c r="I130" s="511">
        <f>R_FS[[#This Row],[Cost]]-R_FS[[#This Row],[Accumulated amortization]]</f>
        <v>14700</v>
      </c>
      <c r="J130" s="236">
        <f>IFERROR(INDEX(TB_FS!E:E,MATCH($C$130,TB_FS!$B:$B,0)),0)+(INDEX(TB_FS!E:E,MATCH($C$138,TB_FS!$B:$B,0)))</f>
        <v>18375</v>
      </c>
      <c r="K130" s="236">
        <f>IFERROR(INDEX(TB_FS!F:F,MATCH($C$130,TB_FS!$B:$B,0)),0)+(INDEX(TB_FS!F:F,MATCH($C$138,TB_FS!$B:$B,0)))</f>
        <v>24398</v>
      </c>
      <c r="L130" s="236">
        <f>IFERROR(INDEX(TB_FS!G:G,MATCH($C$130,TB_FS!$B:$B,0)),0)+(INDEX(TB_FS!G:G,MATCH($C$138,TB_FS!$B:$B,0)))</f>
        <v>26177</v>
      </c>
      <c r="M130" s="236">
        <f>IFERROR(INDEX(TB_FS!H:H,MATCH($C$130,TB_FS!$B:$B,0)),0)+(INDEX(TB_FS!H:H,MATCH($C$138,TB_FS!$B:$B,0)))</f>
        <v>29223</v>
      </c>
      <c r="N130" s="236">
        <f>IFERROR(INDEX(TB_FS!I:I,MATCH($C$130,TB_FS!$B:$B,0)),0)+(INDEX(TB_FS!I:I,MATCH($C$138,TB_FS!$B:$B,0)))</f>
        <v>0</v>
      </c>
    </row>
    <row r="131" spans="2:15" ht="15" customHeight="1" thickBot="1">
      <c r="B131" s="246" t="s">
        <v>0</v>
      </c>
      <c r="C131" s="240" t="s">
        <v>0</v>
      </c>
      <c r="D131" s="478" t="s">
        <v>0</v>
      </c>
      <c r="E131" s="479">
        <f ca="1">E124+E130</f>
        <v>0</v>
      </c>
      <c r="F131" s="479" t="e">
        <f>F124+F130</f>
        <v>#REF!</v>
      </c>
      <c r="G131" s="479">
        <f>SUM(G124:G130)</f>
        <v>1966169</v>
      </c>
      <c r="H131" s="479">
        <f>SUM(H124:H130)</f>
        <v>1280848</v>
      </c>
      <c r="I131" s="479">
        <f>SUM(I124:I130)</f>
        <v>685321</v>
      </c>
      <c r="J131" s="479">
        <f>SUM(J124:J130)</f>
        <v>795540</v>
      </c>
      <c r="K131" s="479">
        <f t="shared" ref="K131:N131" si="37">SUM(K124:K130)</f>
        <v>1166296</v>
      </c>
      <c r="L131" s="479">
        <f t="shared" si="37"/>
        <v>1124941</v>
      </c>
      <c r="M131" s="479">
        <f t="shared" si="37"/>
        <v>963845</v>
      </c>
      <c r="N131" s="479">
        <f t="shared" si="37"/>
        <v>0</v>
      </c>
    </row>
    <row r="132" spans="2:15" ht="15" hidden="1" customHeight="1" thickTop="1">
      <c r="B132" s="246">
        <v>0</v>
      </c>
      <c r="C132" s="240"/>
      <c r="D132" s="266"/>
      <c r="E132" s="235"/>
      <c r="F132" s="235"/>
      <c r="G132" s="246"/>
      <c r="H132" s="246"/>
      <c r="I132" s="511" t="s">
        <v>0</v>
      </c>
      <c r="J132" s="271" t="s">
        <v>0</v>
      </c>
      <c r="K132" s="511"/>
      <c r="L132" s="268"/>
      <c r="M132" s="268"/>
      <c r="N132" s="268"/>
    </row>
    <row r="133" spans="2:15" ht="15" hidden="1" customHeight="1">
      <c r="B133" s="246">
        <v>0</v>
      </c>
      <c r="C133" s="489" t="s">
        <v>390</v>
      </c>
      <c r="D133" s="431" t="str">
        <f>(INDEX(TB_FS!C:C,MATCH(C133,TB_FS!B:B,0)))</f>
        <v>Accumulated amortization Building</v>
      </c>
      <c r="E133" s="203">
        <f ca="1">SUMIF(COA!$F$6:$I$173,C133,COA!$I$6:$I$173)</f>
        <v>0</v>
      </c>
      <c r="F133" s="203" t="e">
        <f>SUMIF(COA!$F$6:$I$173,C133,COA!#REF!)</f>
        <v>#REF!</v>
      </c>
      <c r="G133" s="246"/>
      <c r="H133" s="236">
        <f>IFERROR(ABS(INDEX(TB_FS!D:D, MATCH(C133, TB_FS!B:B, 0))),"")</f>
        <v>0</v>
      </c>
      <c r="I133" s="236" t="s">
        <v>0</v>
      </c>
      <c r="J133" s="271" t="s">
        <v>0</v>
      </c>
      <c r="K133" s="511"/>
      <c r="L133" s="268"/>
      <c r="M133" s="268"/>
      <c r="N133" s="268"/>
    </row>
    <row r="134" spans="2:15" ht="15" hidden="1" customHeight="1">
      <c r="B134" s="246">
        <v>0</v>
      </c>
      <c r="C134" s="53" t="s">
        <v>552</v>
      </c>
      <c r="D134" s="431" t="str">
        <f>(INDEX(TB_FS!C:C,MATCH(C134,TB_FS!B:B,0)))</f>
        <v>Accumulated amortization automobile</v>
      </c>
      <c r="E134" s="203"/>
      <c r="F134" s="203"/>
      <c r="G134" s="246"/>
      <c r="H134" s="236">
        <f>IFERROR(ABS(INDEX(TB_FS!D:D, MATCH(C134, TB_FS!B:B, 0))),"")</f>
        <v>29117</v>
      </c>
      <c r="I134" s="236" t="s">
        <v>0</v>
      </c>
      <c r="J134" s="236" t="s">
        <v>0</v>
      </c>
      <c r="K134" s="511"/>
      <c r="L134" s="268"/>
      <c r="M134" s="268"/>
      <c r="N134" s="268"/>
    </row>
    <row r="135" spans="2:15" ht="15" hidden="1" customHeight="1">
      <c r="B135" s="246">
        <v>0</v>
      </c>
      <c r="C135" s="744" t="s">
        <v>392</v>
      </c>
      <c r="D135" s="431" t="str">
        <f>(INDEX(TB_FS!C:C,MATCH(C135,TB_FS!B:B,0)))</f>
        <v>Accumulated amortization equipment</v>
      </c>
      <c r="E135" s="203"/>
      <c r="F135" s="203"/>
      <c r="G135" s="246"/>
      <c r="H135" s="236">
        <f>IFERROR(ABS(INDEX(TB_FS!D:D, MATCH(C135, TB_FS!B:B, 0))),"")</f>
        <v>637006</v>
      </c>
      <c r="I135" s="236" t="s">
        <v>0</v>
      </c>
      <c r="J135" s="271" t="s">
        <v>0</v>
      </c>
      <c r="K135" s="511"/>
      <c r="L135" s="268"/>
      <c r="M135" s="268"/>
      <c r="N135" s="268"/>
    </row>
    <row r="136" spans="2:15" ht="15" hidden="1" customHeight="1">
      <c r="B136" s="246">
        <v>0</v>
      </c>
      <c r="C136" s="489" t="s">
        <v>395</v>
      </c>
      <c r="D136" s="431" t="str">
        <f>(INDEX(TB_FS!C:C,MATCH(C136,TB_FS!B:B,0)))</f>
        <v>Accumulated amortization computer</v>
      </c>
      <c r="E136" s="203"/>
      <c r="F136" s="203"/>
      <c r="G136" s="246"/>
      <c r="H136" s="236">
        <f>IFERROR(ABS(INDEX(TB_FS!D:D, MATCH(C136, TB_FS!B:B, 0))),"")</f>
        <v>63487</v>
      </c>
      <c r="I136" s="236" t="s">
        <v>0</v>
      </c>
      <c r="J136" s="271" t="s">
        <v>0</v>
      </c>
      <c r="K136" s="511"/>
      <c r="L136" s="268"/>
      <c r="M136" s="268"/>
      <c r="N136" s="268"/>
    </row>
    <row r="137" spans="2:15" ht="15" hidden="1" customHeight="1">
      <c r="B137" s="246">
        <v>0</v>
      </c>
      <c r="C137" s="491" t="s">
        <v>1145</v>
      </c>
      <c r="D137" s="431" t="str">
        <f>(INDEX(TB_FS!C:C,MATCH(C137,TB_FS!B:B,0)))</f>
        <v>Accumulated amortization leaseholds</v>
      </c>
      <c r="E137" s="244"/>
      <c r="F137" s="244"/>
      <c r="G137" s="246"/>
      <c r="H137" s="236">
        <f>IFERROR(ABS(INDEX(TB_FS!D:D, MATCH(C137, TB_FS!B:B, 0))),"")</f>
        <v>503688</v>
      </c>
      <c r="I137" s="236" t="s">
        <v>0</v>
      </c>
      <c r="J137" s="234" t="s">
        <v>0</v>
      </c>
      <c r="K137" s="513"/>
    </row>
    <row r="138" spans="2:15" ht="15" hidden="1" customHeight="1">
      <c r="B138" s="246">
        <v>0</v>
      </c>
      <c r="C138" s="491" t="s">
        <v>1150</v>
      </c>
      <c r="D138" s="431" t="str">
        <f>(INDEX(TB_FS!C:C,MATCH(C138,TB_FS!B:B,0)))</f>
        <v>Accumulated amortization Franchise Fee</v>
      </c>
      <c r="E138" s="244"/>
      <c r="F138" s="244"/>
      <c r="G138" s="246"/>
      <c r="H138" s="236">
        <f>IFERROR(ABS(INDEX(TB_FS!D:D, MATCH(C138, TB_FS!B:B, 0))),"")</f>
        <v>47550</v>
      </c>
      <c r="I138" s="236" t="s">
        <v>0</v>
      </c>
      <c r="J138" s="266"/>
      <c r="K138" s="431"/>
      <c r="L138" s="431"/>
      <c r="M138" s="431"/>
      <c r="N138" s="431"/>
      <c r="O138" s="470"/>
    </row>
    <row r="139" spans="2:15" ht="15" customHeight="1" thickTop="1">
      <c r="B139" s="431"/>
      <c r="C139" s="431"/>
      <c r="D139" s="431"/>
      <c r="E139" s="431"/>
      <c r="F139" s="431"/>
      <c r="G139" s="431"/>
      <c r="H139" s="431"/>
      <c r="I139" s="266"/>
      <c r="J139" s="266"/>
      <c r="K139" s="431"/>
      <c r="L139" s="431"/>
      <c r="M139" s="431"/>
      <c r="N139" s="431"/>
      <c r="O139" s="470"/>
    </row>
    <row r="140" spans="2:15" ht="15" customHeight="1">
      <c r="B140" s="431"/>
      <c r="C140" s="431"/>
      <c r="D140" s="431"/>
      <c r="E140" s="431"/>
      <c r="F140" s="431"/>
      <c r="G140" s="431"/>
      <c r="H140" s="431"/>
      <c r="I140" s="266"/>
      <c r="J140" s="266"/>
      <c r="K140" s="431"/>
      <c r="L140" s="431"/>
      <c r="M140" s="431"/>
      <c r="N140" s="431"/>
      <c r="O140" s="470"/>
    </row>
    <row r="141" spans="2:15" ht="17.45" customHeight="1">
      <c r="B141" s="246" t="s">
        <v>0</v>
      </c>
      <c r="C141" s="240"/>
      <c r="D141" s="245"/>
      <c r="E141" s="244" t="s">
        <v>0</v>
      </c>
      <c r="F141" s="244" t="s">
        <v>0</v>
      </c>
      <c r="G141" s="244"/>
      <c r="H141" s="244"/>
      <c r="I141" s="234"/>
      <c r="J141" s="234"/>
      <c r="O141" s="470"/>
    </row>
    <row r="142" spans="2:15" ht="15" customHeight="1">
      <c r="B142" s="246" t="s">
        <v>0</v>
      </c>
      <c r="C142" s="240"/>
      <c r="D142" s="252" t="s">
        <v>0</v>
      </c>
      <c r="E142" s="296"/>
      <c r="F142" s="296"/>
      <c r="G142" s="296"/>
      <c r="H142" s="296"/>
      <c r="I142" s="500"/>
      <c r="J142" s="556"/>
      <c r="M142" s="494" t="str">
        <f>UPPER(COA!$B$2)</f>
        <v>ANONYMOUS COMPANY</v>
      </c>
      <c r="O142" s="470"/>
    </row>
    <row r="143" spans="2:15" ht="15" customHeight="1">
      <c r="B143" s="246" t="s">
        <v>0</v>
      </c>
      <c r="C143" s="240"/>
      <c r="D143" s="333"/>
      <c r="E143" s="296"/>
      <c r="F143" s="296"/>
      <c r="G143" s="296"/>
      <c r="H143" s="296"/>
      <c r="I143" s="234"/>
      <c r="J143" s="556"/>
      <c r="M143" s="495" t="s">
        <v>604</v>
      </c>
      <c r="O143" s="470"/>
    </row>
    <row r="144" spans="2:15" ht="15" customHeight="1" thickBot="1">
      <c r="B144" s="246" t="s">
        <v>0</v>
      </c>
      <c r="C144" s="240"/>
      <c r="D144" s="448" t="s">
        <v>0</v>
      </c>
      <c r="E144" s="458"/>
      <c r="F144" s="458"/>
      <c r="G144" s="458"/>
      <c r="H144" s="458"/>
      <c r="I144" s="501"/>
      <c r="J144" s="501"/>
      <c r="K144" s="452"/>
      <c r="L144" s="452"/>
      <c r="M144" s="497" t="str">
        <f>"As at "&amp;(TEXT(COA!$B$4,"MMMM DD, YYYY"))</f>
        <v>As at December 31, 2025</v>
      </c>
      <c r="O144" s="470"/>
    </row>
    <row r="145" spans="2:15" ht="15" customHeight="1" thickTop="1">
      <c r="B145" s="246" t="s">
        <v>0</v>
      </c>
      <c r="C145" s="240"/>
      <c r="D145" s="457"/>
      <c r="E145" s="238"/>
      <c r="F145" s="238"/>
      <c r="G145" s="334"/>
      <c r="H145" s="238"/>
      <c r="I145" s="445">
        <f>YEAR(COA!$B$4)</f>
        <v>2025</v>
      </c>
      <c r="J145" s="446">
        <f>R_FS[[#This Row],[CY]]-1</f>
        <v>2024</v>
      </c>
      <c r="K145" s="447">
        <f>R_FS[[#This Row],[PY]]-1</f>
        <v>2023</v>
      </c>
      <c r="L145" s="447">
        <f>R_FS[[#This Row],[PY2]]-1</f>
        <v>2022</v>
      </c>
      <c r="M145" s="447">
        <f>R_FS[[#This Row],[PY3]]-1</f>
        <v>2021</v>
      </c>
      <c r="N145" s="447">
        <f>R_FS[[#This Row],[PY4]]-1</f>
        <v>2020</v>
      </c>
      <c r="O145" s="470"/>
    </row>
    <row r="146" spans="2:15" ht="15" customHeight="1">
      <c r="B146" s="246" t="s">
        <v>0</v>
      </c>
      <c r="C146" s="240"/>
      <c r="D146" s="237"/>
      <c r="E146" s="237"/>
      <c r="F146" s="237"/>
      <c r="G146" s="297"/>
      <c r="H146" s="237"/>
      <c r="I146" s="358" t="s">
        <v>260</v>
      </c>
      <c r="J146" s="359" t="s">
        <v>260</v>
      </c>
      <c r="K146" s="358" t="s">
        <v>260</v>
      </c>
      <c r="L146" s="358" t="s">
        <v>260</v>
      </c>
      <c r="M146" s="358" t="s">
        <v>260</v>
      </c>
      <c r="N146" s="358" t="s">
        <v>260</v>
      </c>
      <c r="O146" s="470"/>
    </row>
    <row r="147" spans="2:15" ht="15" customHeight="1">
      <c r="B147" s="431"/>
      <c r="C147" s="431"/>
      <c r="D147" s="431"/>
      <c r="E147" s="431"/>
      <c r="F147" s="431"/>
      <c r="G147" s="431"/>
      <c r="H147" s="431"/>
      <c r="I147" s="266"/>
      <c r="J147" s="266"/>
      <c r="K147" s="431"/>
      <c r="L147" s="431"/>
      <c r="M147" s="431"/>
      <c r="N147" s="431"/>
      <c r="O147" s="470"/>
    </row>
    <row r="148" spans="2:15" ht="15" customHeight="1">
      <c r="B148" s="246" t="s">
        <v>0</v>
      </c>
      <c r="C148" s="240"/>
      <c r="D148" s="465" t="s">
        <v>633</v>
      </c>
      <c r="E148" s="235"/>
      <c r="F148" s="235"/>
      <c r="G148" s="335" t="s">
        <v>0</v>
      </c>
      <c r="H148" s="336" t="s">
        <v>0</v>
      </c>
      <c r="I148" s="268" t="s">
        <v>0</v>
      </c>
      <c r="J148" s="295" t="s">
        <v>0</v>
      </c>
      <c r="K148" s="431"/>
      <c r="L148" s="431"/>
      <c r="M148" s="431"/>
      <c r="N148" s="431"/>
      <c r="O148" s="470"/>
    </row>
    <row r="149" spans="2:15" ht="15" customHeight="1">
      <c r="B149" s="246" t="s">
        <v>0</v>
      </c>
      <c r="C149" s="240"/>
      <c r="D149" s="465" t="s">
        <v>643</v>
      </c>
      <c r="E149" s="235"/>
      <c r="F149" s="235"/>
      <c r="G149" s="335" t="s">
        <v>0</v>
      </c>
      <c r="H149" s="336"/>
      <c r="I149" s="511">
        <f>IF(I282&gt;0.01,I282,0)</f>
        <v>0</v>
      </c>
      <c r="J149" s="511">
        <f t="shared" ref="J149:N149" si="38">IF(J282&gt;0.01,J282,0)</f>
        <v>0</v>
      </c>
      <c r="K149" s="511">
        <f t="shared" si="38"/>
        <v>0</v>
      </c>
      <c r="L149" s="511">
        <f t="shared" si="38"/>
        <v>67111</v>
      </c>
      <c r="M149" s="511">
        <f t="shared" si="38"/>
        <v>0</v>
      </c>
      <c r="N149" s="511">
        <f t="shared" si="38"/>
        <v>0</v>
      </c>
      <c r="O149" s="470"/>
    </row>
    <row r="150" spans="2:15" ht="15" customHeight="1">
      <c r="B150" s="246" t="s">
        <v>0</v>
      </c>
      <c r="C150" s="240"/>
      <c r="D150" s="465"/>
      <c r="E150" s="235"/>
      <c r="F150" s="235"/>
      <c r="G150" s="335" t="s">
        <v>0</v>
      </c>
      <c r="H150" s="336"/>
      <c r="I150" s="511" t="s">
        <v>0</v>
      </c>
      <c r="J150" s="511" t="s">
        <v>0</v>
      </c>
      <c r="K150" s="511" t="s">
        <v>0</v>
      </c>
      <c r="L150" s="511" t="s">
        <v>0</v>
      </c>
      <c r="M150" s="511" t="s">
        <v>0</v>
      </c>
      <c r="N150" s="511" t="s">
        <v>0</v>
      </c>
      <c r="O150" s="470"/>
    </row>
    <row r="151" spans="2:15" ht="15" customHeight="1">
      <c r="B151" s="246" t="s">
        <v>0</v>
      </c>
      <c r="C151" s="240"/>
      <c r="D151" s="465" t="s">
        <v>634</v>
      </c>
      <c r="E151" s="235"/>
      <c r="F151" s="235"/>
      <c r="G151" s="335" t="s">
        <v>0</v>
      </c>
      <c r="H151" s="336"/>
      <c r="I151" s="511">
        <f>IF(I282&lt;0.01,I282,0)</f>
        <v>-164955</v>
      </c>
      <c r="J151" s="511">
        <f t="shared" ref="J151:N151" si="39">IF(J282&lt;0.01,J282,0)</f>
        <v>-289463</v>
      </c>
      <c r="K151" s="511">
        <f t="shared" si="39"/>
        <v>-111270</v>
      </c>
      <c r="L151" s="511">
        <f t="shared" si="39"/>
        <v>0</v>
      </c>
      <c r="M151" s="511">
        <f t="shared" si="39"/>
        <v>0</v>
      </c>
      <c r="N151" s="511">
        <f t="shared" si="39"/>
        <v>0</v>
      </c>
      <c r="O151" s="470"/>
    </row>
    <row r="152" spans="2:15" ht="15" customHeight="1" thickBot="1">
      <c r="B152" s="246" t="s">
        <v>0</v>
      </c>
      <c r="C152" s="240" t="s">
        <v>0</v>
      </c>
      <c r="D152" s="478" t="s">
        <v>0</v>
      </c>
      <c r="E152" s="479" t="e">
        <f>#REF!+#REF!</f>
        <v>#REF!</v>
      </c>
      <c r="F152" s="479" t="e">
        <f>#REF!+#REF!</f>
        <v>#REF!</v>
      </c>
      <c r="G152" s="464"/>
      <c r="H152" s="464"/>
      <c r="I152" s="479">
        <f>I151+I149</f>
        <v>-164955</v>
      </c>
      <c r="J152" s="479">
        <f t="shared" ref="J152:N152" si="40">J151+J149</f>
        <v>-289463</v>
      </c>
      <c r="K152" s="479">
        <f t="shared" si="40"/>
        <v>-111270</v>
      </c>
      <c r="L152" s="479">
        <f t="shared" si="40"/>
        <v>67111</v>
      </c>
      <c r="M152" s="479">
        <f t="shared" si="40"/>
        <v>0</v>
      </c>
      <c r="N152" s="479">
        <f t="shared" si="40"/>
        <v>0</v>
      </c>
      <c r="O152" s="470"/>
    </row>
    <row r="153" spans="2:15" ht="15" customHeight="1" thickTop="1">
      <c r="B153" s="246" t="s">
        <v>0</v>
      </c>
      <c r="C153" s="240"/>
      <c r="D153" s="266"/>
      <c r="E153" s="235"/>
      <c r="F153" s="235"/>
      <c r="G153" s="246"/>
      <c r="H153" s="235"/>
      <c r="I153" s="511" t="s">
        <v>0</v>
      </c>
      <c r="J153" s="271" t="s">
        <v>0</v>
      </c>
      <c r="O153" s="470"/>
    </row>
    <row r="154" spans="2:15" ht="15" customHeight="1">
      <c r="B154" s="246" t="s">
        <v>0</v>
      </c>
      <c r="C154" s="240"/>
      <c r="D154" s="465" t="s">
        <v>647</v>
      </c>
      <c r="E154" s="235"/>
      <c r="F154" s="235"/>
      <c r="G154" s="335" t="s">
        <v>0</v>
      </c>
      <c r="H154" s="336"/>
      <c r="I154" s="511" t="s">
        <v>0</v>
      </c>
      <c r="J154" s="271" t="s">
        <v>0</v>
      </c>
      <c r="O154" s="470"/>
    </row>
    <row r="155" spans="2:15" ht="15" customHeight="1">
      <c r="B155" s="246">
        <f>IF(I155+J155=0,0,1)</f>
        <v>1</v>
      </c>
      <c r="C155" s="491" t="s">
        <v>527</v>
      </c>
      <c r="D155" s="431" t="str">
        <f>(INDEX(TB_FS!C:C,MATCH(C155,TB_FS!B:B,0)))</f>
        <v>ABC Company</v>
      </c>
      <c r="E155" s="203">
        <f ca="1">SUMIF(COA!$F$6:$I$173,C155,COA!$I$6:$I$173)</f>
        <v>-63165.899999999499</v>
      </c>
      <c r="F155" s="203" t="e">
        <f>SUMIF(COA!$F$6:$I$173,C155,COA!#REF!)</f>
        <v>#REF!</v>
      </c>
      <c r="G155" s="246"/>
      <c r="H155" s="249" t="s">
        <v>0</v>
      </c>
      <c r="I155" s="511">
        <f>IF(I288&gt;0.01,I288,0)</f>
        <v>318967</v>
      </c>
      <c r="J155" s="511">
        <f t="shared" ref="J155:N155" si="41">IF(J288&gt;0.01,J288,0)</f>
        <v>95144</v>
      </c>
      <c r="K155" s="511">
        <f t="shared" si="41"/>
        <v>0</v>
      </c>
      <c r="L155" s="511">
        <f t="shared" si="41"/>
        <v>0</v>
      </c>
      <c r="M155" s="511">
        <f t="shared" si="41"/>
        <v>0</v>
      </c>
      <c r="N155" s="511">
        <f t="shared" si="41"/>
        <v>0</v>
      </c>
      <c r="O155" s="470"/>
    </row>
    <row r="156" spans="2:15" ht="15" customHeight="1">
      <c r="B156" s="246" t="s">
        <v>0</v>
      </c>
      <c r="C156" s="491" t="s">
        <v>528</v>
      </c>
      <c r="D156" s="431" t="str">
        <f>(INDEX(TB_FS!C:C,MATCH(C156,TB_FS!B:B,0)))</f>
        <v>Family Investments Corp</v>
      </c>
      <c r="E156" s="203">
        <f ca="1">SUMIF(COA!$F$6:$I$173,C156,COA!$I$6:$I$173)</f>
        <v>0</v>
      </c>
      <c r="F156" s="203" t="e">
        <f>SUMIF(COA!$F$6:$I$173,C156,COA!#REF!)</f>
        <v>#REF!</v>
      </c>
      <c r="G156" s="246"/>
      <c r="H156" s="249" t="s">
        <v>0</v>
      </c>
      <c r="I156" s="511">
        <f>IF(I290&gt;0.01,I290,0)</f>
        <v>0</v>
      </c>
      <c r="J156" s="511">
        <f t="shared" ref="J156:N156" si="42">IF(J290&gt;0.01,J290,0)</f>
        <v>0</v>
      </c>
      <c r="K156" s="511">
        <f t="shared" si="42"/>
        <v>0</v>
      </c>
      <c r="L156" s="511">
        <f t="shared" si="42"/>
        <v>0</v>
      </c>
      <c r="M156" s="511">
        <f t="shared" si="42"/>
        <v>0</v>
      </c>
      <c r="N156" s="511">
        <f t="shared" si="42"/>
        <v>0</v>
      </c>
      <c r="O156" s="470"/>
    </row>
    <row r="157" spans="2:15" ht="15" customHeight="1">
      <c r="B157" s="246" t="s">
        <v>0</v>
      </c>
      <c r="C157" s="491"/>
      <c r="D157" s="431"/>
      <c r="E157" s="203"/>
      <c r="F157" s="203"/>
      <c r="G157" s="246" t="s">
        <v>0</v>
      </c>
      <c r="H157" s="249"/>
      <c r="I157" s="492">
        <f>SUBTOTAL(109,I155:I156)</f>
        <v>318967</v>
      </c>
      <c r="J157" s="492">
        <f t="shared" ref="J157:N157" si="43">SUBTOTAL(109,J155:J156)</f>
        <v>95144</v>
      </c>
      <c r="K157" s="492">
        <f t="shared" si="43"/>
        <v>0</v>
      </c>
      <c r="L157" s="492">
        <f t="shared" si="43"/>
        <v>0</v>
      </c>
      <c r="M157" s="492">
        <f t="shared" si="43"/>
        <v>0</v>
      </c>
      <c r="N157" s="492">
        <f t="shared" si="43"/>
        <v>0</v>
      </c>
      <c r="O157" s="470"/>
    </row>
    <row r="158" spans="2:15" ht="15" hidden="1" customHeight="1">
      <c r="B158" s="246">
        <f>IF(I158+J158=0,0,1)</f>
        <v>0</v>
      </c>
      <c r="C158" s="491" t="s">
        <v>531</v>
      </c>
      <c r="D158" s="431" t="str">
        <f>(INDEX(TB_FS!C:C,MATCH(C158,TB_FS!B:B,0)))</f>
        <v>Current obligations</v>
      </c>
      <c r="E158" s="203"/>
      <c r="F158" s="203"/>
      <c r="G158" s="246"/>
      <c r="H158" s="361" t="s">
        <v>0</v>
      </c>
      <c r="I158" s="236">
        <f>IFERROR(INDEX(#REF!, MATCH(C158,#REF!, 0)), 0)</f>
        <v>0</v>
      </c>
      <c r="J158" s="236">
        <f>IFERROR(INDEX(#REF!, MATCH(D158,#REF!, 0)), 0)</f>
        <v>0</v>
      </c>
      <c r="K158" s="236">
        <f>IFERROR(INDEX(#REF!, MATCH(E158,#REF!, 0)), 0)</f>
        <v>0</v>
      </c>
      <c r="L158" s="236">
        <f>IFERROR(INDEX(#REF!, MATCH(F158,#REF!, 0)), 0)</f>
        <v>0</v>
      </c>
      <c r="M158" s="236">
        <f>IFERROR(INDEX(#REF!, MATCH(G158,#REF!, 0)), 0)</f>
        <v>0</v>
      </c>
      <c r="N158" s="236">
        <f>IFERROR(INDEX(#REF!, MATCH(H158,#REF!, 0)), 0)</f>
        <v>0</v>
      </c>
      <c r="O158" s="470"/>
    </row>
    <row r="159" spans="2:15" ht="15" customHeight="1" thickBot="1">
      <c r="B159" s="246" t="s">
        <v>0</v>
      </c>
      <c r="C159" s="240" t="s">
        <v>0</v>
      </c>
      <c r="D159" s="478" t="s">
        <v>0</v>
      </c>
      <c r="E159" s="479" t="e">
        <f ca="1">E155+#REF!</f>
        <v>#REF!</v>
      </c>
      <c r="F159" s="479" t="e">
        <f>F155+#REF!</f>
        <v>#REF!</v>
      </c>
      <c r="G159" s="464"/>
      <c r="H159" s="464"/>
      <c r="I159" s="479">
        <f>I157+I158</f>
        <v>318967</v>
      </c>
      <c r="J159" s="479">
        <f t="shared" ref="J159:N159" si="44">J157+J158</f>
        <v>95144</v>
      </c>
      <c r="K159" s="479">
        <f t="shared" si="44"/>
        <v>0</v>
      </c>
      <c r="L159" s="479">
        <f t="shared" si="44"/>
        <v>0</v>
      </c>
      <c r="M159" s="479">
        <f t="shared" si="44"/>
        <v>0</v>
      </c>
      <c r="N159" s="479">
        <f t="shared" si="44"/>
        <v>0</v>
      </c>
      <c r="O159" s="470"/>
    </row>
    <row r="160" spans="2:15" ht="15" customHeight="1" thickTop="1">
      <c r="B160" s="246" t="s">
        <v>0</v>
      </c>
      <c r="C160" s="240"/>
      <c r="D160" s="266"/>
      <c r="E160" s="235"/>
      <c r="F160" s="235"/>
      <c r="G160" s="246" t="s">
        <v>0</v>
      </c>
      <c r="H160" s="235"/>
      <c r="I160" s="511" t="s">
        <v>0</v>
      </c>
      <c r="J160" s="271" t="s">
        <v>0</v>
      </c>
      <c r="O160" s="470"/>
    </row>
    <row r="161" spans="2:15" ht="15" customHeight="1">
      <c r="B161" s="246" t="s">
        <v>0</v>
      </c>
      <c r="C161" s="240"/>
      <c r="D161" s="465" t="s">
        <v>648</v>
      </c>
      <c r="E161" s="235"/>
      <c r="F161" s="235"/>
      <c r="G161" s="335" t="s">
        <v>0</v>
      </c>
      <c r="H161" s="336"/>
      <c r="I161" s="511" t="s">
        <v>0</v>
      </c>
      <c r="J161" s="271" t="s">
        <v>0</v>
      </c>
      <c r="O161" s="470"/>
    </row>
    <row r="162" spans="2:15" ht="15" hidden="1" customHeight="1">
      <c r="B162" s="246">
        <f>IF(I162+J162=0,0,1)</f>
        <v>0</v>
      </c>
      <c r="C162" s="491" t="s">
        <v>527</v>
      </c>
      <c r="D162" s="431" t="str">
        <f>(INDEX(TB_FS!C:C,MATCH(C162,TB_FS!B:B,0)))</f>
        <v>ABC Company</v>
      </c>
      <c r="E162" s="203">
        <f ca="1">SUMIF(COA!$F$6:$I$173,C162,COA!$I$6:$I$173)</f>
        <v>-63165.899999999499</v>
      </c>
      <c r="F162" s="203" t="e">
        <f>SUMIF(COA!$F$6:$I$173,C162,COA!#REF!)</f>
        <v>#REF!</v>
      </c>
      <c r="G162" s="246"/>
      <c r="H162" s="249" t="s">
        <v>0</v>
      </c>
      <c r="I162" s="511">
        <f>ABS(IF(I288&lt;0.01,I288,0))</f>
        <v>0</v>
      </c>
      <c r="J162" s="511">
        <f>ABS(IF(J288&lt;0.01,J288,0))</f>
        <v>0</v>
      </c>
      <c r="K162" s="511">
        <f t="shared" ref="K162:N162" si="45">ABS(IF(K288&lt;0.01,K288,0))</f>
        <v>173116</v>
      </c>
      <c r="L162" s="511">
        <f t="shared" si="45"/>
        <v>316131</v>
      </c>
      <c r="M162" s="511">
        <f t="shared" si="45"/>
        <v>606585</v>
      </c>
      <c r="N162" s="511">
        <f t="shared" si="45"/>
        <v>0</v>
      </c>
      <c r="O162" s="470"/>
    </row>
    <row r="163" spans="2:15" ht="15" customHeight="1">
      <c r="B163" s="246" t="s">
        <v>0</v>
      </c>
      <c r="C163" s="491" t="s">
        <v>528</v>
      </c>
      <c r="D163" s="431" t="str">
        <f>(INDEX(TB_FS!C:C,MATCH(C163,TB_FS!B:B,0)))</f>
        <v>Family Investments Corp</v>
      </c>
      <c r="E163" s="203">
        <f ca="1">SUMIF(COA!$F$6:$I$173,C163,COA!$I$6:$I$173)</f>
        <v>0</v>
      </c>
      <c r="F163" s="203" t="e">
        <f>SUMIF(COA!$F$6:$I$173,C163,COA!#REF!)</f>
        <v>#REF!</v>
      </c>
      <c r="G163" s="246"/>
      <c r="H163" s="249" t="s">
        <v>0</v>
      </c>
      <c r="I163" s="511">
        <f>ABS(IF(I290&lt;0.01,I290,0))</f>
        <v>0</v>
      </c>
      <c r="J163" s="511">
        <f t="shared" ref="J163:N163" si="46">ABS(IF(J290&lt;0.01,J290,0))</f>
        <v>63166</v>
      </c>
      <c r="K163" s="511">
        <f t="shared" si="46"/>
        <v>0</v>
      </c>
      <c r="L163" s="511">
        <f t="shared" si="46"/>
        <v>0</v>
      </c>
      <c r="M163" s="511">
        <f t="shared" si="46"/>
        <v>0</v>
      </c>
      <c r="N163" s="511">
        <f t="shared" si="46"/>
        <v>0</v>
      </c>
      <c r="O163" s="470"/>
    </row>
    <row r="164" spans="2:15" ht="15" customHeight="1">
      <c r="B164" s="246" t="s">
        <v>0</v>
      </c>
      <c r="C164" s="491"/>
      <c r="D164" s="431"/>
      <c r="E164" s="203"/>
      <c r="F164" s="203"/>
      <c r="G164" s="246" t="s">
        <v>0</v>
      </c>
      <c r="H164" s="249"/>
      <c r="I164" s="492">
        <f>SUBTOTAL(109,I162:I163)</f>
        <v>0</v>
      </c>
      <c r="J164" s="492">
        <f t="shared" ref="J164:N164" si="47">SUBTOTAL(109,J162:J163)</f>
        <v>63166</v>
      </c>
      <c r="K164" s="492">
        <f t="shared" si="47"/>
        <v>0</v>
      </c>
      <c r="L164" s="492">
        <f t="shared" si="47"/>
        <v>0</v>
      </c>
      <c r="M164" s="492">
        <f t="shared" si="47"/>
        <v>0</v>
      </c>
      <c r="N164" s="492">
        <f t="shared" si="47"/>
        <v>0</v>
      </c>
      <c r="O164" s="470"/>
    </row>
    <row r="165" spans="2:15" ht="15" hidden="1" customHeight="1">
      <c r="B165" s="246">
        <f>IF(I165+J165=0,0,1)</f>
        <v>0</v>
      </c>
      <c r="C165" s="491" t="s">
        <v>531</v>
      </c>
      <c r="D165" s="431" t="str">
        <f>(INDEX(TB_FS!C:C,MATCH(C165,TB_FS!B:B,0)))</f>
        <v>Current obligations</v>
      </c>
      <c r="E165" s="203"/>
      <c r="F165" s="203"/>
      <c r="G165" s="246"/>
      <c r="H165" s="361" t="s">
        <v>0</v>
      </c>
      <c r="I165" s="236">
        <f>IFERROR(INDEX(#REF!, MATCH(C165,#REF!, 0)), 0)</f>
        <v>0</v>
      </c>
      <c r="J165" s="236">
        <f>IFERROR(INDEX(#REF!, MATCH(D165,#REF!, 0)), 0)</f>
        <v>0</v>
      </c>
      <c r="K165" s="236">
        <f>IFERROR(INDEX(#REF!, MATCH(E165,#REF!, 0)), 0)</f>
        <v>0</v>
      </c>
      <c r="L165" s="236">
        <f>IFERROR(INDEX(#REF!, MATCH(F165,#REF!, 0)), 0)</f>
        <v>0</v>
      </c>
      <c r="M165" s="236">
        <f>IFERROR(INDEX(#REF!, MATCH(G165,#REF!, 0)), 0)</f>
        <v>0</v>
      </c>
      <c r="N165" s="236">
        <f>IFERROR(INDEX(#REF!, MATCH(H165,#REF!, 0)), 0)</f>
        <v>0</v>
      </c>
      <c r="O165" s="470"/>
    </row>
    <row r="166" spans="2:15" ht="15" customHeight="1" thickBot="1">
      <c r="B166" s="246" t="s">
        <v>0</v>
      </c>
      <c r="C166" s="240" t="s">
        <v>0</v>
      </c>
      <c r="D166" s="478" t="s">
        <v>0</v>
      </c>
      <c r="E166" s="479" t="e">
        <f ca="1">E162+#REF!</f>
        <v>#REF!</v>
      </c>
      <c r="F166" s="479" t="e">
        <f>F162+#REF!</f>
        <v>#REF!</v>
      </c>
      <c r="G166" s="464"/>
      <c r="H166" s="464"/>
      <c r="I166" s="479">
        <f>I164+I165</f>
        <v>0</v>
      </c>
      <c r="J166" s="479">
        <f t="shared" ref="J166:N166" si="48">J164+J165</f>
        <v>63166</v>
      </c>
      <c r="K166" s="479">
        <f t="shared" si="48"/>
        <v>0</v>
      </c>
      <c r="L166" s="479">
        <f t="shared" si="48"/>
        <v>0</v>
      </c>
      <c r="M166" s="479">
        <f t="shared" si="48"/>
        <v>0</v>
      </c>
      <c r="N166" s="479">
        <f t="shared" si="48"/>
        <v>0</v>
      </c>
      <c r="O166" s="470"/>
    </row>
    <row r="167" spans="2:15" ht="15" customHeight="1" thickTop="1">
      <c r="B167" s="246" t="s">
        <v>0</v>
      </c>
      <c r="C167" s="240"/>
      <c r="D167" s="266"/>
      <c r="E167" s="235"/>
      <c r="F167" s="235"/>
      <c r="G167" s="246" t="s">
        <v>0</v>
      </c>
      <c r="H167" s="235"/>
      <c r="I167" s="511" t="s">
        <v>0</v>
      </c>
      <c r="J167" s="271" t="s">
        <v>0</v>
      </c>
      <c r="O167" s="470"/>
    </row>
    <row r="168" spans="2:15" ht="15" customHeight="1">
      <c r="B168" s="246" t="s">
        <v>0</v>
      </c>
      <c r="C168" s="240"/>
      <c r="D168" s="266"/>
      <c r="E168" s="235"/>
      <c r="F168" s="235"/>
      <c r="G168" s="246" t="s">
        <v>0</v>
      </c>
      <c r="H168" s="235"/>
      <c r="I168" s="268" t="s">
        <v>0</v>
      </c>
      <c r="J168" s="295" t="s">
        <v>0</v>
      </c>
      <c r="O168" s="470"/>
    </row>
    <row r="169" spans="2:15" ht="15" customHeight="1">
      <c r="B169" s="246" t="s">
        <v>0</v>
      </c>
      <c r="C169" s="240"/>
      <c r="D169" s="252" t="s">
        <v>0</v>
      </c>
      <c r="E169" s="296"/>
      <c r="F169" s="296"/>
      <c r="G169" s="296"/>
      <c r="H169" s="296"/>
      <c r="I169" s="500"/>
      <c r="J169" s="556"/>
      <c r="M169" s="494" t="str">
        <f>UPPER(COA!$B$2)</f>
        <v>ANONYMOUS COMPANY</v>
      </c>
      <c r="O169" s="470"/>
    </row>
    <row r="170" spans="2:15" ht="15" customHeight="1">
      <c r="B170" s="246" t="s">
        <v>0</v>
      </c>
      <c r="C170" s="240"/>
      <c r="D170" s="333" t="s">
        <v>0</v>
      </c>
      <c r="E170" s="296"/>
      <c r="F170" s="296"/>
      <c r="G170" s="296"/>
      <c r="H170" s="296"/>
      <c r="I170" s="234"/>
      <c r="J170" s="556"/>
      <c r="M170" s="495" t="s">
        <v>603</v>
      </c>
      <c r="O170" s="470"/>
    </row>
    <row r="171" spans="2:15" ht="15" customHeight="1" thickBot="1">
      <c r="B171" s="246" t="s">
        <v>0</v>
      </c>
      <c r="C171" s="240"/>
      <c r="D171" s="448" t="s">
        <v>0</v>
      </c>
      <c r="E171" s="458"/>
      <c r="F171" s="458"/>
      <c r="G171" s="458"/>
      <c r="H171" s="458"/>
      <c r="I171" s="501"/>
      <c r="J171" s="501"/>
      <c r="K171" s="452"/>
      <c r="L171" s="452"/>
      <c r="M171" s="497" t="str">
        <f>"As at "&amp;(TEXT(COA!$B$4,"MMMM DD, YYYY"))</f>
        <v>As at December 31, 2025</v>
      </c>
      <c r="O171" s="470"/>
    </row>
    <row r="172" spans="2:15" ht="15" customHeight="1" thickTop="1">
      <c r="B172" s="246" t="s">
        <v>0</v>
      </c>
      <c r="C172" s="240"/>
      <c r="D172" s="457"/>
      <c r="E172" s="238"/>
      <c r="F172" s="238"/>
      <c r="G172" s="334"/>
      <c r="H172" s="238"/>
      <c r="I172" s="445">
        <f>YEAR(COA!$B$4)</f>
        <v>2025</v>
      </c>
      <c r="J172" s="446">
        <f>R_FS[[#This Row],[CY]]-1</f>
        <v>2024</v>
      </c>
      <c r="K172" s="447">
        <f>R_FS[[#This Row],[PY]]-1</f>
        <v>2023</v>
      </c>
      <c r="L172" s="447">
        <f>R_FS[[#This Row],[PY2]]-1</f>
        <v>2022</v>
      </c>
      <c r="M172" s="447">
        <f>R_FS[[#This Row],[PY3]]-1</f>
        <v>2021</v>
      </c>
      <c r="N172" s="447">
        <f>R_FS[[#This Row],[PY4]]-1</f>
        <v>2020</v>
      </c>
      <c r="O172" s="470"/>
    </row>
    <row r="173" spans="2:15" ht="15" customHeight="1">
      <c r="B173" s="246" t="s">
        <v>0</v>
      </c>
      <c r="C173" s="240"/>
      <c r="D173" s="237"/>
      <c r="E173" s="237"/>
      <c r="F173" s="237"/>
      <c r="G173" s="297"/>
      <c r="H173" s="237"/>
      <c r="I173" s="358" t="s">
        <v>260</v>
      </c>
      <c r="J173" s="359" t="s">
        <v>260</v>
      </c>
      <c r="K173" s="358" t="s">
        <v>260</v>
      </c>
      <c r="L173" s="358" t="s">
        <v>260</v>
      </c>
      <c r="M173" s="358" t="s">
        <v>260</v>
      </c>
      <c r="N173" s="358" t="s">
        <v>260</v>
      </c>
      <c r="O173" s="470"/>
    </row>
    <row r="174" spans="2:15" ht="15" customHeight="1">
      <c r="B174" s="431"/>
      <c r="C174" s="431"/>
      <c r="D174" s="431"/>
      <c r="E174" s="431"/>
      <c r="F174" s="431"/>
      <c r="G174" s="431"/>
      <c r="H174" s="431"/>
      <c r="I174" s="266"/>
      <c r="J174" s="266"/>
      <c r="K174" s="431"/>
      <c r="L174" s="431"/>
      <c r="M174" s="431"/>
      <c r="N174" s="431"/>
      <c r="O174" s="470"/>
    </row>
    <row r="175" spans="2:15" ht="15" customHeight="1">
      <c r="B175" s="431"/>
      <c r="C175" s="431"/>
      <c r="D175" s="431"/>
      <c r="E175" s="431"/>
      <c r="F175" s="431"/>
      <c r="G175" s="431"/>
      <c r="H175" s="431"/>
      <c r="I175" s="266"/>
      <c r="J175" s="266"/>
      <c r="K175" s="431"/>
      <c r="L175" s="431"/>
      <c r="M175" s="431"/>
      <c r="N175" s="431"/>
      <c r="O175" s="470"/>
    </row>
    <row r="176" spans="2:15" ht="15" customHeight="1">
      <c r="B176" s="246" t="s">
        <v>0</v>
      </c>
      <c r="C176" s="240"/>
      <c r="D176" s="465" t="s">
        <v>294</v>
      </c>
      <c r="E176" s="235"/>
      <c r="F176" s="235"/>
      <c r="G176" s="335" t="s">
        <v>0</v>
      </c>
      <c r="H176" s="336" t="s">
        <v>0</v>
      </c>
      <c r="I176" s="268" t="s">
        <v>0</v>
      </c>
      <c r="J176" s="295" t="s">
        <v>0</v>
      </c>
      <c r="K176" s="431"/>
      <c r="L176" s="431"/>
      <c r="M176" s="431"/>
      <c r="N176" s="431"/>
      <c r="O176" s="470"/>
    </row>
    <row r="177" spans="2:15" ht="15" hidden="1" customHeight="1">
      <c r="B177" s="246">
        <f>IF(I177+J177=0,0,1)</f>
        <v>0</v>
      </c>
      <c r="C177" s="491" t="s">
        <v>426</v>
      </c>
      <c r="D177" s="431" t="str">
        <f>(INDEX(TB_FS!C:C,MATCH(C177,TB_FS!B:B,0)))</f>
        <v>Conditional sales Contract</v>
      </c>
      <c r="E177" s="203">
        <f ca="1">SUMIF(COA!$F$6:$I$173,C177,COA!$I$6:$I$173)</f>
        <v>0</v>
      </c>
      <c r="F177" s="203" t="e">
        <f>SUMIF(COA!$F$6:$I$173,C177,COA!#REF!)</f>
        <v>#REF!</v>
      </c>
      <c r="G177" s="246"/>
      <c r="H177" s="249" t="s">
        <v>0</v>
      </c>
      <c r="I177" s="236">
        <f>IFERROR(ABS(INDEX(TB_FS!D:D, MATCH($C$177, TB_FS!$B:$B, 0))), "")</f>
        <v>0</v>
      </c>
      <c r="J177" s="236">
        <f>IFERROR(ABS(INDEX(TB_FS!E:E, MATCH($C$177, TB_FS!$B:$B, 0))), "")</f>
        <v>0</v>
      </c>
      <c r="K177" s="236">
        <f>IFERROR(ABS(INDEX(TB_FS!F:F, MATCH($C$177, TB_FS!$B:$B, 0))), "")</f>
        <v>0</v>
      </c>
      <c r="L177" s="236">
        <f>IFERROR(ABS(INDEX(TB_FS!G:G, MATCH($C$177, TB_FS!$B:$B, 0))), "")</f>
        <v>0</v>
      </c>
      <c r="M177" s="236">
        <f>IFERROR(ABS(INDEX(TB_FS!H:H, MATCH($C$177, TB_FS!$B:$B, 0))), "")</f>
        <v>0</v>
      </c>
      <c r="N177" s="236">
        <f>IFERROR(ABS(INDEX(TB_FS!I:I, MATCH($C$177, TB_FS!$B:$B, 0))), "")</f>
        <v>0</v>
      </c>
      <c r="O177" s="470"/>
    </row>
    <row r="178" spans="2:15" ht="15" customHeight="1">
      <c r="B178" s="246">
        <f>IF(I178+J178=0,0,1)</f>
        <v>1</v>
      </c>
      <c r="C178" s="491" t="s">
        <v>427</v>
      </c>
      <c r="D178" s="431" t="str">
        <f>(INDEX(TB_FS!C:C,MATCH(C178,TB_FS!B:B,0)))</f>
        <v>5.5% Bank Term Loan due in monthly principal payments amounting to $9,200 plus interest. Secured by a debenture over  the assets on the company having a net book value   $71,071</v>
      </c>
      <c r="E178" s="203">
        <f ca="1">SUMIF(COA!$F$6:$I$173,C178,COA!$I$6:$I$173)</f>
        <v>-503562.53000000102</v>
      </c>
      <c r="F178" s="203" t="e">
        <f>SUMIF(COA!$F$6:$I$173,C178,COA!#REF!)</f>
        <v>#REF!</v>
      </c>
      <c r="G178" s="246"/>
      <c r="H178" s="249" t="s">
        <v>0</v>
      </c>
      <c r="I178" s="236">
        <f>IFERROR(ABS(INDEX(TB_FS!D:D, MATCH($C$178, TB_FS!$B:$B, 0))), "")</f>
        <v>394111</v>
      </c>
      <c r="J178" s="236">
        <f>IFERROR(ABS(INDEX(TB_FS!E:E, MATCH($C$178, TB_FS!$B:$B, 0))), "")</f>
        <v>503563</v>
      </c>
      <c r="K178" s="236">
        <f>IFERROR(ABS(INDEX(TB_FS!F:F, MATCH($C$178, TB_FS!$B:$B, 0))), "")</f>
        <v>614795</v>
      </c>
      <c r="L178" s="236">
        <f>IFERROR(ABS(INDEX(TB_FS!G:G, MATCH($C$178, TB_FS!$B:$B, 0))), "")</f>
        <v>496165</v>
      </c>
      <c r="M178" s="236">
        <f>IFERROR(ABS(INDEX(TB_FS!H:H, MATCH($C$178, TB_FS!$B:$B, 0))), "")</f>
        <v>320547</v>
      </c>
      <c r="N178" s="236">
        <f>IFERROR(ABS(INDEX(TB_FS!I:I, MATCH($C$178, TB_FS!$B:$B, 0))), "")</f>
        <v>0</v>
      </c>
      <c r="O178" s="470"/>
    </row>
    <row r="179" spans="2:15" ht="15" hidden="1" customHeight="1">
      <c r="B179" s="246">
        <f>IF(I179+J179=0,0,1)</f>
        <v>0</v>
      </c>
      <c r="C179" s="491" t="s">
        <v>428</v>
      </c>
      <c r="D179" s="431" t="str">
        <f>(INDEX(TB_FS!C:C,MATCH(C179,TB_FS!B:B,0)))</f>
        <v>6.9% Mortgage due in monthly principal and interest payments amounting to $940. Secured by land and building having a net book value of $71,071</v>
      </c>
      <c r="E179" s="203">
        <f ca="1">SUMIF(COA!$F$6:$I$173,C179,COA!$I$6:$I$173)</f>
        <v>0</v>
      </c>
      <c r="F179" s="203" t="e">
        <f>SUMIF(COA!$F$6:$I$173,C179,COA!#REF!)</f>
        <v>#REF!</v>
      </c>
      <c r="G179" s="246"/>
      <c r="H179" s="249" t="s">
        <v>0</v>
      </c>
      <c r="I179" s="236">
        <f>IFERROR(ABS(INDEX(TB_FS!D:D, MATCH($C$179, TB_FS!$B:$B, 0))), "")</f>
        <v>0</v>
      </c>
      <c r="J179" s="236">
        <f>IFERROR(ABS(INDEX(TB_FS!E:E, MATCH($C$179, TB_FS!$B:$B, 0))), "")</f>
        <v>0</v>
      </c>
      <c r="K179" s="236">
        <f>IFERROR(ABS(INDEX(TB_FS!F:F, MATCH($C$179, TB_FS!$B:$B, 0))), "")</f>
        <v>0</v>
      </c>
      <c r="L179" s="236">
        <f>IFERROR(ABS(INDEX(TB_FS!G:G, MATCH($C$179, TB_FS!$B:$B, 0))), "")</f>
        <v>0</v>
      </c>
      <c r="M179" s="236">
        <f>IFERROR(ABS(INDEX(TB_FS!H:H, MATCH($C$179, TB_FS!$B:$B, 0))), "")</f>
        <v>0</v>
      </c>
      <c r="N179" s="236">
        <f>IFERROR(ABS(INDEX(TB_FS!I:I, MATCH($C$179, TB_FS!$B:$B, 0))), "")</f>
        <v>0</v>
      </c>
      <c r="O179" s="470"/>
    </row>
    <row r="180" spans="2:15" ht="15" customHeight="1">
      <c r="B180" s="246" t="s">
        <v>0</v>
      </c>
      <c r="C180" s="491"/>
      <c r="D180" s="431"/>
      <c r="E180" s="203"/>
      <c r="F180" s="203"/>
      <c r="G180" s="246" t="s">
        <v>0</v>
      </c>
      <c r="H180" s="249"/>
      <c r="I180" s="492">
        <f>SUBTOTAL(109,I177:I179)</f>
        <v>394111</v>
      </c>
      <c r="J180" s="492">
        <f t="shared" ref="J180:N180" si="49">SUBTOTAL(109,J177:J179)</f>
        <v>503563</v>
      </c>
      <c r="K180" s="492">
        <f t="shared" si="49"/>
        <v>614795</v>
      </c>
      <c r="L180" s="492">
        <f t="shared" si="49"/>
        <v>496165</v>
      </c>
      <c r="M180" s="492">
        <f t="shared" si="49"/>
        <v>320547</v>
      </c>
      <c r="N180" s="492">
        <f t="shared" si="49"/>
        <v>0</v>
      </c>
      <c r="O180" s="470"/>
    </row>
    <row r="181" spans="2:15" ht="15" customHeight="1">
      <c r="B181" s="246">
        <f>IF(I181+J181=0,0,1)</f>
        <v>1</v>
      </c>
      <c r="C181" s="491" t="s">
        <v>429</v>
      </c>
      <c r="D181" s="431" t="str">
        <f>(INDEX(TB_FS!C:C,MATCH(C181,TB_FS!B:B,0)))</f>
        <v>Principal due within one year</v>
      </c>
      <c r="E181" s="203"/>
      <c r="F181" s="203"/>
      <c r="G181" s="246"/>
      <c r="H181" s="361" t="s">
        <v>0</v>
      </c>
      <c r="I181" s="236">
        <f>IFERROR(INDEX(TB_FS!D:D, MATCH($C$181, TB_FS!$B:$B, 0)), 0)</f>
        <v>110400</v>
      </c>
      <c r="J181" s="236">
        <f>IFERROR(INDEX(TB_FS!E:E, MATCH($C$181, TB_FS!$B:$B, 0)), 0)</f>
        <v>0</v>
      </c>
      <c r="K181" s="236">
        <f>IFERROR(INDEX(TB_FS!F:F, MATCH($C$181, TB_FS!$B:$B, 0)), 0)</f>
        <v>0</v>
      </c>
      <c r="L181" s="236">
        <f>IFERROR(INDEX(TB_FS!G:G, MATCH($C$181, TB_FS!$B:$B, 0)), 0)</f>
        <v>0</v>
      </c>
      <c r="M181" s="236">
        <f>IFERROR(INDEX(TB_FS!H:H, MATCH($C$181, TB_FS!$B:$B, 0)), 0)</f>
        <v>0</v>
      </c>
      <c r="N181" s="236">
        <f>IFERROR(INDEX(TB_FS!I:I, MATCH($C$181, TB_FS!$B:$B, 0)), 0)</f>
        <v>0</v>
      </c>
      <c r="O181" s="470"/>
    </row>
    <row r="182" spans="2:15" ht="15" customHeight="1" thickBot="1">
      <c r="B182" s="246" t="s">
        <v>0</v>
      </c>
      <c r="C182" s="240" t="s">
        <v>0</v>
      </c>
      <c r="D182" s="478" t="s">
        <v>0</v>
      </c>
      <c r="E182" s="479" t="e">
        <f ca="1">E177+#REF!</f>
        <v>#REF!</v>
      </c>
      <c r="F182" s="479" t="e">
        <f>F177+#REF!</f>
        <v>#REF!</v>
      </c>
      <c r="G182" s="464"/>
      <c r="H182" s="464"/>
      <c r="I182" s="479">
        <f>I180-I181</f>
        <v>283711</v>
      </c>
      <c r="J182" s="479">
        <f t="shared" ref="J182:N182" si="50">J180-J181</f>
        <v>503563</v>
      </c>
      <c r="K182" s="479">
        <f t="shared" si="50"/>
        <v>614795</v>
      </c>
      <c r="L182" s="479">
        <f t="shared" si="50"/>
        <v>496165</v>
      </c>
      <c r="M182" s="479">
        <f t="shared" si="50"/>
        <v>320547</v>
      </c>
      <c r="N182" s="479">
        <f t="shared" si="50"/>
        <v>0</v>
      </c>
      <c r="O182" s="470"/>
    </row>
    <row r="183" spans="2:15" ht="15" customHeight="1" thickTop="1">
      <c r="B183" s="431"/>
      <c r="C183" s="431"/>
      <c r="D183" s="431"/>
      <c r="E183" s="431"/>
      <c r="F183" s="431"/>
      <c r="G183" s="431"/>
      <c r="H183" s="431"/>
      <c r="I183" s="266"/>
      <c r="J183" s="266"/>
      <c r="K183" s="431"/>
      <c r="L183" s="431"/>
      <c r="M183" s="431"/>
      <c r="N183" s="431"/>
      <c r="O183" s="470"/>
    </row>
    <row r="184" spans="2:15" ht="15" customHeight="1">
      <c r="B184" s="431"/>
      <c r="C184" s="431"/>
      <c r="D184" s="431"/>
      <c r="E184" s="431"/>
      <c r="F184" s="431"/>
      <c r="G184" s="431"/>
      <c r="H184" s="431"/>
      <c r="I184" s="266"/>
      <c r="J184" s="266"/>
      <c r="K184" s="431"/>
      <c r="L184" s="431"/>
      <c r="M184" s="431"/>
      <c r="N184" s="431"/>
      <c r="O184" s="470"/>
    </row>
    <row r="185" spans="2:15" ht="15" customHeight="1">
      <c r="B185" s="431"/>
      <c r="C185" s="431"/>
      <c r="D185" s="431"/>
      <c r="E185" s="431"/>
      <c r="F185" s="431"/>
      <c r="G185" s="431"/>
      <c r="H185" s="431"/>
      <c r="I185" s="266"/>
      <c r="J185" s="266"/>
      <c r="K185" s="431"/>
      <c r="L185" s="431"/>
      <c r="M185" s="431"/>
      <c r="N185" s="431"/>
      <c r="O185" s="470"/>
    </row>
    <row r="186" spans="2:15" ht="15" customHeight="1">
      <c r="B186" s="431"/>
      <c r="C186" s="431"/>
      <c r="D186" s="431"/>
      <c r="E186" s="431"/>
      <c r="F186" s="431"/>
      <c r="G186" s="431"/>
      <c r="H186" s="431"/>
      <c r="I186" s="266"/>
      <c r="J186" s="266"/>
      <c r="K186" s="431"/>
      <c r="L186" s="431"/>
      <c r="M186" s="431"/>
      <c r="N186" s="431"/>
      <c r="O186" s="470"/>
    </row>
    <row r="187" spans="2:15" ht="15" customHeight="1">
      <c r="B187" s="431"/>
      <c r="C187" s="431"/>
      <c r="D187" s="431"/>
      <c r="E187" s="431"/>
      <c r="F187" s="431"/>
      <c r="G187" s="431"/>
      <c r="H187" s="431"/>
      <c r="I187" s="266"/>
      <c r="J187" s="266"/>
      <c r="K187" s="431"/>
      <c r="L187" s="431"/>
      <c r="M187" s="431"/>
      <c r="N187" s="431"/>
      <c r="O187" s="470"/>
    </row>
    <row r="188" spans="2:15" ht="15" customHeight="1">
      <c r="B188" s="235"/>
      <c r="C188" s="288"/>
      <c r="D188" s="252" t="s">
        <v>0</v>
      </c>
      <c r="E188" s="243"/>
      <c r="F188" s="243"/>
      <c r="G188" s="243"/>
      <c r="H188" s="243"/>
      <c r="I188" s="493"/>
      <c r="J188" s="556"/>
      <c r="M188" s="494" t="str">
        <f>UPPER(COA!$B$2)</f>
        <v>ANONYMOUS COMPANY</v>
      </c>
    </row>
    <row r="189" spans="2:15" ht="15" customHeight="1">
      <c r="B189" s="235"/>
      <c r="C189" s="288"/>
      <c r="D189" s="333" t="s">
        <v>0</v>
      </c>
      <c r="E189" s="267"/>
      <c r="F189" s="267"/>
      <c r="G189" s="267"/>
      <c r="H189" s="267"/>
      <c r="I189" s="502"/>
      <c r="J189" s="556"/>
      <c r="M189" s="495" t="s">
        <v>1478</v>
      </c>
    </row>
    <row r="190" spans="2:15" ht="15" customHeight="1" thickBot="1">
      <c r="B190" s="235"/>
      <c r="C190" s="288"/>
      <c r="D190" s="448" t="s">
        <v>0</v>
      </c>
      <c r="E190" s="448"/>
      <c r="F190" s="448"/>
      <c r="G190" s="448"/>
      <c r="H190" s="448"/>
      <c r="I190" s="496"/>
      <c r="J190" s="496"/>
      <c r="K190" s="452"/>
      <c r="L190" s="452"/>
      <c r="M190" s="497" t="str">
        <f>"For the year ended "&amp;(TEXT(COA!$B$4,"MMMM DD, YYYY"))</f>
        <v>For the year ended December 31, 2025</v>
      </c>
    </row>
    <row r="191" spans="2:15" ht="15" customHeight="1" thickTop="1">
      <c r="B191" s="235"/>
      <c r="C191" s="288"/>
      <c r="D191" s="457"/>
      <c r="E191" s="238"/>
      <c r="F191" s="238"/>
      <c r="G191" s="334"/>
      <c r="H191" s="238"/>
      <c r="I191" s="445">
        <f>YEAR(COA!$B$4)</f>
        <v>2025</v>
      </c>
      <c r="J191" s="446">
        <f>R_FS[[#This Row],[CY]]-1</f>
        <v>2024</v>
      </c>
      <c r="K191" s="447">
        <f>R_FS[[#This Row],[PY]]-1</f>
        <v>2023</v>
      </c>
      <c r="L191" s="447">
        <f>R_FS[[#This Row],[PY2]]-1</f>
        <v>2022</v>
      </c>
      <c r="M191" s="447">
        <f>R_FS[[#This Row],[PY3]]-1</f>
        <v>2021</v>
      </c>
      <c r="N191" s="447">
        <f>R_FS[[#This Row],[PY4]]-1</f>
        <v>2020</v>
      </c>
    </row>
    <row r="192" spans="2:15" ht="15" customHeight="1">
      <c r="B192" s="235"/>
      <c r="C192" s="288"/>
      <c r="D192" s="237"/>
      <c r="E192" s="237"/>
      <c r="F192" s="237"/>
      <c r="G192" s="297"/>
      <c r="H192" s="237"/>
      <c r="I192" s="358" t="s">
        <v>260</v>
      </c>
      <c r="J192" s="359" t="s">
        <v>260</v>
      </c>
      <c r="K192" s="358" t="s">
        <v>260</v>
      </c>
      <c r="L192" s="358" t="s">
        <v>260</v>
      </c>
      <c r="M192" s="358" t="s">
        <v>260</v>
      </c>
      <c r="N192" s="358" t="s">
        <v>260</v>
      </c>
    </row>
    <row r="193" spans="2:16" ht="15" customHeight="1">
      <c r="B193" s="236">
        <v>1</v>
      </c>
      <c r="C193" s="288"/>
      <c r="D193" s="465" t="s">
        <v>245</v>
      </c>
      <c r="E193" s="235"/>
      <c r="F193" s="235"/>
      <c r="G193" s="246"/>
      <c r="H193" s="235"/>
      <c r="I193" s="234"/>
      <c r="J193" s="234"/>
    </row>
    <row r="194" spans="2:16" ht="15" customHeight="1">
      <c r="B194" s="236">
        <v>1</v>
      </c>
      <c r="C194" t="s">
        <v>587</v>
      </c>
      <c r="D194" s="431" t="str">
        <f>(INDEX(TB_FS!C:C,MATCH(C194,TB_FS!B:B,0)))</f>
        <v>Amortization of Tangible Assets</v>
      </c>
      <c r="E194" s="241">
        <f ca="1">SUMIF(COA!$F$6:$I$173,C194,COA!$I$6:$I$173)</f>
        <v>193861.43</v>
      </c>
      <c r="F194" s="241" t="e">
        <f>SUMIF(COA!$F$6:$I$173,C194,COA!#REF!)</f>
        <v>#REF!</v>
      </c>
      <c r="G194" s="203"/>
      <c r="H194" s="235"/>
      <c r="I194" s="258">
        <f>IFERROR(INDEX(TB_FS!D:D, MATCH(C194, TB_FS!B:B, 0)), 0)</f>
        <v>166054</v>
      </c>
      <c r="J194" s="258">
        <f>IFERROR(INDEX(TB_FS!E:E, MATCH(C194, TB_FS!B:B, 0)), 0)</f>
        <v>193861</v>
      </c>
      <c r="K194" s="258">
        <f>IFERROR(INDEX(TB_FS!F:F, MATCH(C194, TB_FS!B:B, 0)), 0)</f>
        <v>2177</v>
      </c>
      <c r="L194" s="258">
        <f>IFERROR(INDEX(TB_FS!G:G,MATCH(C194,TB_FS!B:B,0)),0)</f>
        <v>189505</v>
      </c>
      <c r="M194" s="258">
        <f>IFERROR(INDEX(TB_FS!H:H, MATCH(C194, TB_FS!B:B, 0)), 0)</f>
        <v>125998</v>
      </c>
      <c r="N194" s="258">
        <f>IFERROR(INDEX(TB_FS!I:I, MATCH(C194, TB_FS!B:B, 0)), 0)</f>
        <v>0</v>
      </c>
    </row>
    <row r="195" spans="2:16" ht="15" hidden="1" customHeight="1">
      <c r="B195" s="236">
        <v>0</v>
      </c>
      <c r="C195" s="288"/>
      <c r="D195" s="240"/>
      <c r="E195" s="240"/>
      <c r="F195" s="240"/>
      <c r="G195" s="298" t="s">
        <v>0</v>
      </c>
      <c r="H195" s="235"/>
      <c r="I195" s="234"/>
      <c r="J195" s="234"/>
    </row>
    <row r="196" spans="2:16" ht="15" customHeight="1">
      <c r="B196" s="236" t="s">
        <v>0</v>
      </c>
      <c r="C196" s="288"/>
      <c r="D196" s="240"/>
      <c r="E196" s="240"/>
      <c r="F196" s="240"/>
      <c r="G196" s="298" t="s">
        <v>0</v>
      </c>
      <c r="H196" s="235"/>
      <c r="I196" s="234" t="s">
        <v>0</v>
      </c>
      <c r="J196" s="234" t="s">
        <v>0</v>
      </c>
    </row>
    <row r="197" spans="2:16" ht="15" customHeight="1">
      <c r="B197" s="236" t="s">
        <v>0</v>
      </c>
      <c r="C197" s="288"/>
      <c r="D197" s="465" t="s">
        <v>300</v>
      </c>
      <c r="E197" s="235"/>
      <c r="F197" s="235"/>
      <c r="G197" s="246"/>
      <c r="H197" s="235"/>
      <c r="I197" s="234"/>
      <c r="J197" s="234"/>
    </row>
    <row r="198" spans="2:16" ht="15" hidden="1" customHeight="1">
      <c r="B198" s="236">
        <f>IF(R_FS[[#This Row],[CY]]+R_FS[[#This Row],[PY]]=0,0,1)</f>
        <v>0</v>
      </c>
      <c r="C198" t="s">
        <v>572</v>
      </c>
      <c r="D198" s="431" t="str">
        <f>(INDEX(TB_FS!C:C,MATCH(C198,TB_FS!B:B,0)))</f>
        <v>Liability insurance</v>
      </c>
      <c r="E198" s="241">
        <f ca="1">SUMIF(COA!$F$6:$I$173,C198,COA!$I$6:$I$173)</f>
        <v>0</v>
      </c>
      <c r="F198" s="241" t="e">
        <f>SUMIF(COA!$F$6:$I$173,C198,COA!#REF!)</f>
        <v>#REF!</v>
      </c>
      <c r="G198" s="203"/>
      <c r="H198" s="235"/>
      <c r="I198" s="236">
        <f>IFERROR(INDEX(TB_FS!D:D, MATCH(C198, TB_FS!B:B, 0)), 0)</f>
        <v>0</v>
      </c>
      <c r="J198" s="236">
        <f>IFERROR(INDEX(TB_FS!E:E, MATCH(C198, TB_FS!B:B, 0)), 0)</f>
        <v>0</v>
      </c>
      <c r="K198" s="236">
        <f>IFERROR(INDEX(TB_FS!F:F, MATCH(C198, TB_FS!B:B, 0)), 0)</f>
        <v>0</v>
      </c>
      <c r="L198" s="236">
        <f>IFERROR(INDEX(TB_FS!G:G,MATCH(C198,TB_FS!B:B,0)),0)</f>
        <v>0</v>
      </c>
      <c r="M198" s="236">
        <f>IFERROR(INDEX(TB_FS!H:H, MATCH(C198, TB_FS!B:B, 0)), 0)</f>
        <v>0</v>
      </c>
      <c r="N198" s="236">
        <f>IFERROR(INDEX(TB_FS!I:I, MATCH(C198, TB_FS!B:B, 0)), 0)</f>
        <v>0</v>
      </c>
    </row>
    <row r="199" spans="2:16" ht="15" hidden="1" customHeight="1">
      <c r="B199" s="236">
        <f>IF(R_FS[[#This Row],[CY]]+R_FS[[#This Row],[PY]]=0,0,1)</f>
        <v>0</v>
      </c>
      <c r="C199" s="3" t="s">
        <v>0</v>
      </c>
      <c r="D199" s="431">
        <f>(INDEX(TB_FS!C:C,MATCH(C199,TB_FS!B:B,0)))</f>
        <v>0</v>
      </c>
      <c r="E199" s="241">
        <f ca="1">SUMIF(COA!$F$6:$I$173,C199,COA!$I$6:$I$173)</f>
        <v>0</v>
      </c>
      <c r="F199" s="241" t="e">
        <f>SUMIF(COA!$F$6:$I$173,C199,COA!#REF!)</f>
        <v>#REF!</v>
      </c>
      <c r="G199" s="203"/>
      <c r="H199" s="235"/>
      <c r="I199" s="236">
        <f>IFERROR(INDEX(TB_FS!D:D, MATCH(C199, TB_FS!B:B, 0)), 0)</f>
        <v>0</v>
      </c>
      <c r="J199" s="236">
        <f>IFERROR(INDEX(TB_FS!E:E, MATCH(C199, TB_FS!B:B, 0)), 0)</f>
        <v>0</v>
      </c>
      <c r="K199" s="236">
        <f>IFERROR(INDEX(TB_FS!F:F, MATCH(C199, TB_FS!B:B, 0)), 0)</f>
        <v>0</v>
      </c>
      <c r="L199" s="236">
        <f>IFERROR(INDEX(TB_FS!G:G,MATCH(C199,TB_FS!B:B,0)),0)</f>
        <v>0</v>
      </c>
      <c r="M199" s="236">
        <f>IFERROR(INDEX(TB_FS!H:H, MATCH(C199, TB_FS!B:B, 0)), 0)</f>
        <v>0</v>
      </c>
      <c r="N199" s="236">
        <f>IFERROR(INDEX(TB_FS!I:I, MATCH(C199, TB_FS!B:B, 0)), 0)</f>
        <v>0</v>
      </c>
    </row>
    <row r="200" spans="2:16" ht="15" customHeight="1">
      <c r="B200" s="236">
        <f>IF(R_FS[[#This Row],[CY]]+R_FS[[#This Row],[PY]]=0,0,1)</f>
        <v>1</v>
      </c>
      <c r="C200" t="s">
        <v>581</v>
      </c>
      <c r="D200" s="431" t="str">
        <f>(INDEX(TB_FS!C:C,MATCH(C200,TB_FS!B:B,0)))</f>
        <v>Telephone</v>
      </c>
      <c r="E200" s="241">
        <f ca="1">SUMIF(COA!$F$6:$I$173,C200,COA!$I$6:$I$173)</f>
        <v>39975.96</v>
      </c>
      <c r="F200" s="241" t="e">
        <f>SUMIF(COA!$F$6:$I$173,C200,COA!#REF!)</f>
        <v>#REF!</v>
      </c>
      <c r="G200" s="203"/>
      <c r="H200" s="235"/>
      <c r="I200" s="236">
        <f>IFERROR(INDEX(TB_FS!D:D, MATCH(C200, TB_FS!B:B, 0)), 0)</f>
        <v>52201</v>
      </c>
      <c r="J200" s="236">
        <f>IFERROR(INDEX(TB_FS!E:E, MATCH(C200, TB_FS!B:B, 0)), 0)</f>
        <v>39976</v>
      </c>
      <c r="K200" s="236">
        <f>IFERROR(INDEX(TB_FS!F:F, MATCH(C200, TB_FS!B:B, 0)), 0)</f>
        <v>35178</v>
      </c>
      <c r="L200" s="236">
        <f>IFERROR(INDEX(TB_FS!G:G,MATCH(C200,TB_FS!B:B,0)),0)</f>
        <v>25644</v>
      </c>
      <c r="M200" s="236">
        <f>IFERROR(INDEX(TB_FS!H:H, MATCH(C200, TB_FS!B:B, 0)), 0)</f>
        <v>22448</v>
      </c>
      <c r="N200" s="236">
        <f>IFERROR(INDEX(TB_FS!I:I, MATCH(C200, TB_FS!B:B, 0)), 0)</f>
        <v>0</v>
      </c>
    </row>
    <row r="201" spans="2:16" ht="15" hidden="1" customHeight="1">
      <c r="B201" s="236">
        <f>IF(R_FS[[#This Row],[CY]]+R_FS[[#This Row],[PY]]=0,0,1)</f>
        <v>0</v>
      </c>
      <c r="C201" t="s">
        <v>582</v>
      </c>
      <c r="D201" s="431" t="str">
        <f>(INDEX(TB_FS!C:C,MATCH(C201,TB_FS!B:B,0)))</f>
        <v>Internet</v>
      </c>
      <c r="E201" s="241">
        <f ca="1">SUMIF(COA!$F$6:$I$173,C201,COA!$I$6:$I$173)</f>
        <v>0</v>
      </c>
      <c r="F201" s="241" t="e">
        <f>SUMIF(COA!$F$6:$I$173,C201,COA!#REF!)</f>
        <v>#REF!</v>
      </c>
      <c r="G201" s="203"/>
      <c r="H201" s="235"/>
      <c r="I201" s="236">
        <f>IFERROR(INDEX(TB_FS!D:D, MATCH(C201, TB_FS!B:B, 0)), 0)</f>
        <v>0</v>
      </c>
      <c r="J201" s="236">
        <f>IFERROR(INDEX(TB_FS!E:E, MATCH(C201, TB_FS!B:B, 0)), 0)</f>
        <v>0</v>
      </c>
      <c r="K201" s="236">
        <f>IFERROR(INDEX(TB_FS!F:F, MATCH(C201, TB_FS!B:B, 0)), 0)</f>
        <v>0</v>
      </c>
      <c r="L201" s="236">
        <f>IFERROR(INDEX(TB_FS!G:G,MATCH(C201,TB_FS!B:B,0)),0)</f>
        <v>0</v>
      </c>
      <c r="M201" s="236">
        <f>IFERROR(INDEX(TB_FS!H:H, MATCH(C201, TB_FS!B:B, 0)), 0)</f>
        <v>0</v>
      </c>
      <c r="N201" s="236">
        <f>IFERROR(INDEX(TB_FS!I:I, MATCH(C201, TB_FS!B:B, 0)), 0)</f>
        <v>0</v>
      </c>
    </row>
    <row r="202" spans="2:16" ht="15" hidden="1" customHeight="1">
      <c r="B202" s="236">
        <f>IF(R_FS[[#This Row],[CY]]+R_FS[[#This Row],[PY]]=0,0,1)</f>
        <v>0</v>
      </c>
      <c r="C202" t="s">
        <v>583</v>
      </c>
      <c r="D202" s="431" t="str">
        <f>(INDEX(TB_FS!C:C,MATCH(C202,TB_FS!B:B,0)))</f>
        <v>Bad debt expense</v>
      </c>
      <c r="E202" s="241">
        <f ca="1">SUMIF(COA!$F$6:$I$173,C202,COA!$I$6:$I$173)</f>
        <v>0</v>
      </c>
      <c r="F202" s="241" t="e">
        <f>SUMIF(COA!$F$6:$I$173,C202,COA!#REF!)</f>
        <v>#REF!</v>
      </c>
      <c r="G202" s="203"/>
      <c r="H202" s="235"/>
      <c r="I202" s="236">
        <f>IFERROR(INDEX(TB_FS!D:D, MATCH(C202, TB_FS!B:B, 0)), 0)</f>
        <v>0</v>
      </c>
      <c r="J202" s="236">
        <f>IFERROR(INDEX(TB_FS!E:E, MATCH(C202, TB_FS!B:B, 0)), 0)</f>
        <v>0</v>
      </c>
      <c r="K202" s="236">
        <f>IFERROR(INDEX(TB_FS!F:F, MATCH(C202, TB_FS!B:B, 0)), 0)</f>
        <v>0</v>
      </c>
      <c r="L202" s="236">
        <f>IFERROR(INDEX(TB_FS!G:G,MATCH(C202,TB_FS!B:B,0)),0)</f>
        <v>0</v>
      </c>
      <c r="M202" s="236">
        <f>IFERROR(INDEX(TB_FS!H:H, MATCH(C202, TB_FS!B:B, 0)), 0)</f>
        <v>0</v>
      </c>
      <c r="N202" s="236">
        <f>IFERROR(INDEX(TB_FS!I:I, MATCH(C202, TB_FS!B:B, 0)), 0)</f>
        <v>0</v>
      </c>
      <c r="P202" s="470"/>
    </row>
    <row r="203" spans="2:16" ht="15" customHeight="1">
      <c r="B203" s="236">
        <f>IF(R_FS[[#This Row],[CY]]+R_FS[[#This Row],[PY]]=0,0,1)</f>
        <v>1</v>
      </c>
      <c r="C203" t="s">
        <v>571</v>
      </c>
      <c r="D203" s="431" t="str">
        <f>(INDEX(TB_FS!C:C,MATCH(C203,TB_FS!B:B,0)))</f>
        <v>Professional Fees</v>
      </c>
      <c r="E203" s="241">
        <f ca="1">SUMIF(COA!$F$6:$I$173,C203,COA!$I$6:$I$173)</f>
        <v>18896.25</v>
      </c>
      <c r="F203" s="241" t="e">
        <f>SUMIF(COA!$F$6:$I$173,C203,COA!#REF!)</f>
        <v>#REF!</v>
      </c>
      <c r="G203" s="203"/>
      <c r="H203" s="235"/>
      <c r="I203" s="236">
        <f>IFERROR(INDEX(TB_FS!D:D, MATCH(C203, TB_FS!B:B, 0)), 0)</f>
        <v>30104</v>
      </c>
      <c r="J203" s="236">
        <f>IFERROR(INDEX(TB_FS!E:E, MATCH(C203, TB_FS!B:B, 0)), 0)</f>
        <v>18896</v>
      </c>
      <c r="K203" s="236">
        <f>IFERROR(INDEX(TB_FS!F:F, MATCH(C203, TB_FS!B:B, 0)), 0)</f>
        <v>38561</v>
      </c>
      <c r="L203" s="236">
        <f>IFERROR(INDEX(TB_FS!G:G,MATCH(C203,TB_FS!B:B,0)),0)</f>
        <v>20786</v>
      </c>
      <c r="M203" s="236">
        <f>IFERROR(INDEX(TB_FS!H:H, MATCH(C203, TB_FS!B:B, 0)), 0)</f>
        <v>18846</v>
      </c>
      <c r="N203" s="236">
        <f>IFERROR(INDEX(TB_FS!I:I, MATCH(C203, TB_FS!B:B, 0)), 0)</f>
        <v>0</v>
      </c>
      <c r="P203" s="470"/>
    </row>
    <row r="204" spans="2:16" ht="15" customHeight="1">
      <c r="B204" s="236">
        <f>IF(R_FS[[#This Row],[CY]]+R_FS[[#This Row],[PY]]=0,0,1)</f>
        <v>1</v>
      </c>
      <c r="C204" s="288"/>
      <c r="D204" s="240"/>
      <c r="E204" s="240"/>
      <c r="F204" s="240"/>
      <c r="G204" s="298"/>
      <c r="H204" s="235"/>
      <c r="I204" s="239">
        <f t="shared" ref="I204:N204" si="51">SUM(I198:I203)</f>
        <v>82305</v>
      </c>
      <c r="J204" s="239">
        <f t="shared" si="51"/>
        <v>58872</v>
      </c>
      <c r="K204" s="239">
        <f t="shared" si="51"/>
        <v>73739</v>
      </c>
      <c r="L204" s="239">
        <f t="shared" si="51"/>
        <v>46430</v>
      </c>
      <c r="M204" s="239">
        <f t="shared" si="51"/>
        <v>41294</v>
      </c>
      <c r="N204" s="239">
        <f t="shared" si="51"/>
        <v>0</v>
      </c>
      <c r="P204" s="470"/>
    </row>
    <row r="205" spans="2:16" ht="15" customHeight="1">
      <c r="B205" s="236" t="s">
        <v>0</v>
      </c>
      <c r="C205" s="288"/>
      <c r="D205" s="465" t="s">
        <v>246</v>
      </c>
      <c r="E205" s="235"/>
      <c r="F205" s="235"/>
      <c r="G205" s="246"/>
      <c r="H205" s="235"/>
      <c r="I205" s="234"/>
      <c r="J205" s="234"/>
      <c r="P205" s="470"/>
    </row>
    <row r="206" spans="2:16" ht="15" customHeight="1">
      <c r="B206" s="236">
        <f>IF(R_FS[[#This Row],[CY]]+R_FS[[#This Row],[PY]]=0,0,1)</f>
        <v>1</v>
      </c>
      <c r="C206" s="112" t="s">
        <v>568</v>
      </c>
      <c r="D206" s="431" t="str">
        <f>(INDEX(TB_FS!C:C,MATCH(C206,TB_FS!B:B,0)))</f>
        <v xml:space="preserve">Wage </v>
      </c>
      <c r="E206" s="241">
        <f ca="1">SUMIF(COA!$F$6:$I$173,C206,COA!$I$6:$I$173)</f>
        <v>794057.05</v>
      </c>
      <c r="F206" s="241" t="e">
        <f>SUMIF(COA!$F$6:$I$173,C206,COA!#REF!)</f>
        <v>#REF!</v>
      </c>
      <c r="G206" s="203"/>
      <c r="H206" s="235"/>
      <c r="I206" s="236">
        <f>IFERROR(INDEX(TB_FS!D:D, MATCH(C206, TB_FS!B:B, 0)), 0)</f>
        <v>406510</v>
      </c>
      <c r="J206" s="236">
        <f>IFERROR(INDEX(TB_FS!E:E, MATCH(C206, TB_FS!B:B, 0)), 0)</f>
        <v>794057</v>
      </c>
      <c r="K206" s="236">
        <f>IFERROR(INDEX(TB_FS!F:F, MATCH(C206, TB_FS!B:B, 0)), 0)</f>
        <v>609544</v>
      </c>
      <c r="L206" s="236">
        <f>IFERROR(INDEX(TB_FS!G:G,MATCH(C206,TB_FS!B:B,0)),0)</f>
        <v>378379</v>
      </c>
      <c r="M206" s="236">
        <f>IFERROR(INDEX(TB_FS!H:H, MATCH(C206, TB_FS!B:B, 0)), 0)</f>
        <v>310904</v>
      </c>
      <c r="N206" s="236">
        <f>IFERROR(INDEX(TB_FS!I:I, MATCH(C206, TB_FS!B:B, 0)), 0)</f>
        <v>0</v>
      </c>
      <c r="P206" s="470"/>
    </row>
    <row r="207" spans="2:16" ht="15" customHeight="1">
      <c r="B207" s="236">
        <f>IF(R_FS[[#This Row],[CY]]+R_FS[[#This Row],[PY]]=0,0,1)</f>
        <v>1</v>
      </c>
      <c r="C207" t="s">
        <v>569</v>
      </c>
      <c r="D207" s="431" t="str">
        <f>(INDEX(TB_FS!C:C,MATCH(C207,TB_FS!B:B,0)))</f>
        <v>Wage Costs</v>
      </c>
      <c r="E207" s="241">
        <f ca="1">SUMIF(COA!$F$6:$I$173,C207,COA!$I$6:$I$173)</f>
        <v>28465.34</v>
      </c>
      <c r="F207" s="241" t="e">
        <f>SUMIF(COA!$F$6:$I$173,C207,COA!#REF!)</f>
        <v>#REF!</v>
      </c>
      <c r="G207" s="203"/>
      <c r="H207" s="235"/>
      <c r="I207" s="236">
        <f>IFERROR(INDEX(TB_FS!D:D, MATCH(C207, TB_FS!B:B, 0)), 0)</f>
        <v>32273</v>
      </c>
      <c r="J207" s="236">
        <f>IFERROR(INDEX(TB_FS!E:E, MATCH(C207, TB_FS!B:B, 0)), 0)</f>
        <v>28465</v>
      </c>
      <c r="K207" s="236">
        <f>IFERROR(INDEX(TB_FS!F:F, MATCH(C207, TB_FS!B:B, 0)), 0)</f>
        <v>22992</v>
      </c>
      <c r="L207" s="236">
        <f>IFERROR(INDEX(TB_FS!G:G,MATCH(C207,TB_FS!B:B,0)),0)</f>
        <v>18914</v>
      </c>
      <c r="M207" s="236">
        <f>IFERROR(INDEX(TB_FS!H:H, MATCH(C207, TB_FS!B:B, 0)), 0)</f>
        <v>22162</v>
      </c>
      <c r="N207" s="236">
        <f>IFERROR(INDEX(TB_FS!I:I, MATCH(C207, TB_FS!B:B, 0)), 0)</f>
        <v>0</v>
      </c>
      <c r="P207" s="470"/>
    </row>
    <row r="208" spans="2:16" ht="15" hidden="1" customHeight="1">
      <c r="B208" s="236">
        <f>IF(R_FS[[#This Row],[CY]]+R_FS[[#This Row],[PY]]=0,0,1)</f>
        <v>0</v>
      </c>
      <c r="C208" t="s">
        <v>570</v>
      </c>
      <c r="D208" s="431" t="str">
        <f>(INDEX(TB_FS!C:C,MATCH(C208,TB_FS!B:B,0)))</f>
        <v>WHSCC</v>
      </c>
      <c r="E208" s="241">
        <f ca="1">SUMIF(COA!$F$6:$I$173,C208,COA!$I$6:$I$173)</f>
        <v>0</v>
      </c>
      <c r="F208" s="241" t="e">
        <f>SUMIF(COA!$F$6:$I$173,C208,COA!#REF!)</f>
        <v>#REF!</v>
      </c>
      <c r="G208" s="203"/>
      <c r="H208" s="235"/>
      <c r="I208" s="236">
        <f>IFERROR(INDEX(TB_FS!D:D, MATCH(C208, TB_FS!B:B, 0)), 0)</f>
        <v>0</v>
      </c>
      <c r="J208" s="236">
        <f>IFERROR(INDEX(TB_FS!E:E, MATCH(C208, TB_FS!B:B, 0)), 0)</f>
        <v>0</v>
      </c>
      <c r="K208" s="236">
        <f>IFERROR(INDEX(TB_FS!F:F, MATCH(C208, TB_FS!B:B, 0)), 0)</f>
        <v>0</v>
      </c>
      <c r="L208" s="236">
        <f>IFERROR(INDEX(TB_FS!G:G,MATCH(C208,TB_FS!B:B,0)),0)</f>
        <v>0</v>
      </c>
      <c r="M208" s="236">
        <f>IFERROR(INDEX(TB_FS!H:H, MATCH(C208, TB_FS!B:B, 0)), 0)</f>
        <v>0</v>
      </c>
      <c r="N208" s="236">
        <f>IFERROR(INDEX(TB_FS!I:I, MATCH(C208, TB_FS!B:B, 0)), 0)</f>
        <v>0</v>
      </c>
    </row>
    <row r="209" spans="2:14" ht="15" hidden="1" customHeight="1">
      <c r="B209" s="236">
        <f>IF(R_FS[[#This Row],[CY]]+R_FS[[#This Row],[PY]]=0,0,1)</f>
        <v>0</v>
      </c>
      <c r="C209" s="41" t="s">
        <v>601</v>
      </c>
      <c r="D209" s="431" t="str">
        <f>(INDEX(TB_FS!C:C,MATCH(C209,TB_FS!B:B,0)))</f>
        <v>Payroll Expense - Directors</v>
      </c>
      <c r="E209" s="241">
        <f ca="1">SUMIF(COA!$F$6:$I$173,C209,COA!$I$6:$I$173)</f>
        <v>0</v>
      </c>
      <c r="F209" s="241" t="e">
        <f>SUMIF(COA!$F$6:$I$173,C209,COA!#REF!)</f>
        <v>#REF!</v>
      </c>
      <c r="G209" s="203"/>
      <c r="H209" s="235"/>
      <c r="I209" s="236">
        <f>IFERROR(INDEX(TB_FS!D:D, MATCH(C209, TB_FS!B:B, 0)), 0)</f>
        <v>0</v>
      </c>
      <c r="J209" s="236">
        <f>IFERROR(INDEX(TB_FS!E:E, MATCH(C209, TB_FS!B:B, 0)), 0)</f>
        <v>0</v>
      </c>
      <c r="K209" s="236">
        <f>IFERROR(INDEX(TB_FS!F:F, MATCH(C209, TB_FS!B:B, 0)), 0)</f>
        <v>0</v>
      </c>
      <c r="L209" s="236">
        <f>IFERROR(INDEX(TB_FS!G:G,MATCH(C209,TB_FS!B:B,0)),0)</f>
        <v>0</v>
      </c>
      <c r="M209" s="236">
        <f>IFERROR(INDEX(TB_FS!H:H, MATCH(C209, TB_FS!B:B, 0)), 0)</f>
        <v>0</v>
      </c>
      <c r="N209" s="236">
        <f>IFERROR(INDEX(TB_FS!I:I, MATCH(C209, TB_FS!B:B, 0)), 0)</f>
        <v>0</v>
      </c>
    </row>
    <row r="210" spans="2:14" ht="15" customHeight="1">
      <c r="B210" s="236">
        <f>IF(R_FS[[#This Row],[CY]]+R_FS[[#This Row],[PY]]=0,0,1)</f>
        <v>1</v>
      </c>
      <c r="C210" t="s">
        <v>602</v>
      </c>
      <c r="D210" s="431" t="str">
        <f>(INDEX(TB_FS!C:C,MATCH(C210,TB_FS!B:B,0)))</f>
        <v>Consult anting fees</v>
      </c>
      <c r="E210" s="241">
        <f ca="1">SUMIF(COA!$F$6:$I$173,C210,COA!$I$6:$I$173)</f>
        <v>18604.11</v>
      </c>
      <c r="F210" s="241" t="e">
        <f>SUMIF(COA!$F$6:$I$173,C210,COA!#REF!)</f>
        <v>#REF!</v>
      </c>
      <c r="G210" s="203"/>
      <c r="H210" s="235"/>
      <c r="I210" s="236">
        <f>IFERROR(INDEX(TB_FS!D:D, MATCH(C210, TB_FS!B:B, 0)), 0)</f>
        <v>13851</v>
      </c>
      <c r="J210" s="236">
        <f>IFERROR(INDEX(TB_FS!E:E, MATCH(C210, TB_FS!B:B, 0)), 0)</f>
        <v>18604</v>
      </c>
      <c r="K210" s="236">
        <f>IFERROR(INDEX(TB_FS!F:F, MATCH(C210, TB_FS!B:B, 0)), 0)</f>
        <v>15883</v>
      </c>
      <c r="L210" s="236">
        <f>IFERROR(INDEX(TB_FS!G:G,MATCH(C210,TB_FS!B:B,0)),0)</f>
        <v>18452</v>
      </c>
      <c r="M210" s="236">
        <f>IFERROR(INDEX(TB_FS!H:H, MATCH(C210, TB_FS!B:B, 0)), 0)</f>
        <v>15629</v>
      </c>
      <c r="N210" s="236">
        <f>IFERROR(INDEX(TB_FS!I:I, MATCH(C210, TB_FS!B:B, 0)), 0)</f>
        <v>0</v>
      </c>
    </row>
    <row r="211" spans="2:14" ht="16.5" customHeight="1">
      <c r="B211" s="236">
        <f>IF(R_FS[[#This Row],[CY]]+R_FS[[#This Row],[PY]]=0,0,1)</f>
        <v>1</v>
      </c>
      <c r="C211" t="s">
        <v>0</v>
      </c>
      <c r="D211" s="240"/>
      <c r="E211" s="240"/>
      <c r="F211" s="240"/>
      <c r="G211" s="298"/>
      <c r="H211" s="240"/>
      <c r="I211" s="239">
        <f>SUM(I206:I210)</f>
        <v>452634</v>
      </c>
      <c r="J211" s="239">
        <f>SUM(J206:J210)</f>
        <v>841126</v>
      </c>
      <c r="K211" s="239">
        <f t="shared" ref="K211:N211" si="52">SUM(K206:K210)</f>
        <v>648419</v>
      </c>
      <c r="L211" s="239">
        <f t="shared" si="52"/>
        <v>415745</v>
      </c>
      <c r="M211" s="239">
        <f t="shared" si="52"/>
        <v>348695</v>
      </c>
      <c r="N211" s="239">
        <f t="shared" si="52"/>
        <v>0</v>
      </c>
    </row>
    <row r="212" spans="2:14" ht="15" customHeight="1">
      <c r="B212" s="236" t="s">
        <v>0</v>
      </c>
      <c r="C212" s="288"/>
      <c r="D212" s="465" t="s">
        <v>247</v>
      </c>
      <c r="E212" s="235"/>
      <c r="F212" s="235"/>
      <c r="G212" s="246"/>
      <c r="H212" s="235"/>
      <c r="I212" s="234"/>
      <c r="J212" s="234"/>
    </row>
    <row r="213" spans="2:14" ht="15" customHeight="1">
      <c r="B213" s="236">
        <f>IF(R_FS[[#This Row],[CY]]+R_FS[[#This Row],[PY]]=0,0,1)</f>
        <v>1</v>
      </c>
      <c r="C213" t="s">
        <v>576</v>
      </c>
      <c r="D213" s="431" t="str">
        <f>(INDEX(TB_FS!C:C,MATCH(C213,TB_FS!B:B,0)))</f>
        <v>Bank charges and interest</v>
      </c>
      <c r="E213" s="241">
        <f ca="1">SUMIF(COA!$F$6:$I$173,C213,COA!$I$6:$I$173)</f>
        <v>7265.0899999999992</v>
      </c>
      <c r="F213" s="241" t="e">
        <f>SUMIF(COA!$F$6:$I$173,C213,COA!#REF!)</f>
        <v>#REF!</v>
      </c>
      <c r="G213" s="203"/>
      <c r="H213" s="235"/>
      <c r="I213" s="236">
        <f>IFERROR(INDEX(TB_FS!D:D, MATCH(C213, TB_FS!B:B, 0)), 0)</f>
        <v>8787</v>
      </c>
      <c r="J213" s="236">
        <f>IFERROR(INDEX(TB_FS!E:E, MATCH(C213, TB_FS!B:B, 0)), 0)</f>
        <v>7265</v>
      </c>
      <c r="K213" s="236">
        <f>IFERROR(INDEX(TB_FS!F:F, MATCH(C213, TB_FS!B:B, 0)), 0)</f>
        <v>19087</v>
      </c>
      <c r="L213" s="236">
        <f>IFERROR(INDEX(TB_FS!G:G,MATCH(C213,TB_FS!B:B,0)),0)</f>
        <v>9162</v>
      </c>
      <c r="M213" s="236">
        <f>IFERROR(INDEX(TB_FS!H:H, MATCH(C213, TB_FS!B:B, 0)), 0)</f>
        <v>9049</v>
      </c>
      <c r="N213" s="236">
        <f>IFERROR(INDEX(TB_FS!I:I, MATCH(C213, TB_FS!B:B, 0)), 0)</f>
        <v>0</v>
      </c>
    </row>
    <row r="214" spans="2:14" ht="15" customHeight="1">
      <c r="B214" s="236">
        <f>IF(R_FS[[#This Row],[CY]]+R_FS[[#This Row],[PY]]=0,0,1)</f>
        <v>1</v>
      </c>
      <c r="C214" s="112" t="s">
        <v>1361</v>
      </c>
      <c r="D214" s="431" t="str">
        <f>(INDEX(TB_FS!C:C,MATCH(C214,TB_FS!B:B,0)))</f>
        <v xml:space="preserve"> Interac charges</v>
      </c>
      <c r="E214" s="241">
        <f ca="1">SUMIF(COA!$F$6:$I$173,C214,COA!$I$6:$I$173)</f>
        <v>30068.85</v>
      </c>
      <c r="F214" s="241" t="e">
        <f>SUMIF(COA!$F$6:$I$173,C214,COA!#REF!)</f>
        <v>#REF!</v>
      </c>
      <c r="G214" s="203"/>
      <c r="H214" s="235"/>
      <c r="I214" s="236">
        <f>IFERROR(INDEX(TB_FS!D:D, MATCH(C214, TB_FS!B:B, 0)), 0)</f>
        <v>33577</v>
      </c>
      <c r="J214" s="236">
        <f>IFERROR(INDEX(TB_FS!E:E, MATCH(C214, TB_FS!B:B, 0)), 0)</f>
        <v>30069</v>
      </c>
      <c r="K214" s="236">
        <f>IFERROR(INDEX(TB_FS!F:F, MATCH(C214, TB_FS!B:B, 0)), 0)</f>
        <v>17462</v>
      </c>
      <c r="L214" s="236">
        <f>IFERROR(INDEX(TB_FS!G:G,MATCH(C214,TB_FS!B:B,0)),0)</f>
        <v>23292</v>
      </c>
      <c r="M214" s="236">
        <f>IFERROR(INDEX(TB_FS!H:H, MATCH(C214, TB_FS!B:B, 0)), 0)</f>
        <v>17722</v>
      </c>
      <c r="N214" s="236">
        <f>IFERROR(INDEX(TB_FS!I:I, MATCH(C214, TB_FS!B:B, 0)), 0)</f>
        <v>0</v>
      </c>
    </row>
    <row r="215" spans="2:14" ht="15" customHeight="1">
      <c r="B215" s="236">
        <f>IF(R_FS[[#This Row],[CY]]+R_FS[[#This Row],[PY]]=0,0,1)</f>
        <v>1</v>
      </c>
      <c r="C215" t="s">
        <v>578</v>
      </c>
      <c r="D215" s="431" t="str">
        <f>(INDEX(TB_FS!C:C,MATCH(C215,TB_FS!B:B,0)))</f>
        <v>Interest Long Term Debt</v>
      </c>
      <c r="E215" s="241">
        <f ca="1">SUMIF(COA!$F$6:$I$173,C215,COA!$I$6:$I$173)</f>
        <v>41955.94</v>
      </c>
      <c r="F215" s="241" t="e">
        <f>SUMIF(COA!$F$6:$I$173,C215,COA!#REF!)</f>
        <v>#REF!</v>
      </c>
      <c r="G215" s="203"/>
      <c r="H215" s="235"/>
      <c r="I215" s="236">
        <f>IFERROR(INDEX(TB_FS!D:D, MATCH(C215, TB_FS!B:B, 0)), 0)</f>
        <v>25894</v>
      </c>
      <c r="J215" s="236">
        <f>IFERROR(INDEX(TB_FS!E:E, MATCH(C215, TB_FS!B:B, 0)), 0)</f>
        <v>41956</v>
      </c>
      <c r="K215" s="236">
        <f>IFERROR(INDEX(TB_FS!F:F, MATCH(C215, TB_FS!B:B, 0)), 0)</f>
        <v>13255</v>
      </c>
      <c r="L215" s="236">
        <f>IFERROR(INDEX(TB_FS!G:G,MATCH(C215,TB_FS!B:B,0)),0)</f>
        <v>21325</v>
      </c>
      <c r="M215" s="236">
        <f>IFERROR(INDEX(TB_FS!H:H, MATCH(C215, TB_FS!B:B, 0)), 0)</f>
        <v>96</v>
      </c>
      <c r="N215" s="236">
        <f>IFERROR(INDEX(TB_FS!I:I, MATCH(C215, TB_FS!B:B, 0)), 0)</f>
        <v>0</v>
      </c>
    </row>
    <row r="216" spans="2:14" ht="15" customHeight="1">
      <c r="B216" s="236">
        <f>IF(R_FS[[#This Row],[CY]]+R_FS[[#This Row],[PY]]=0,0,1)</f>
        <v>1</v>
      </c>
      <c r="C216" s="288"/>
      <c r="D216" s="240"/>
      <c r="E216" s="240"/>
      <c r="F216" s="240"/>
      <c r="G216" s="298"/>
      <c r="H216" s="240"/>
      <c r="I216" s="239">
        <f>SUM(I213:I215)</f>
        <v>68258</v>
      </c>
      <c r="J216" s="239">
        <f>SUM(J213:J215)</f>
        <v>79290</v>
      </c>
      <c r="K216" s="239">
        <f>SUM(K213:K215)</f>
        <v>49804</v>
      </c>
      <c r="L216" s="239">
        <f>SUM(L213:L215)</f>
        <v>53779</v>
      </c>
      <c r="M216" s="239">
        <f>SUM(M213:M215)</f>
        <v>26867</v>
      </c>
      <c r="N216" s="239">
        <f t="shared" ref="N216" si="53">SUM(N213:N215)</f>
        <v>0</v>
      </c>
    </row>
    <row r="217" spans="2:14" ht="15" customHeight="1">
      <c r="B217" s="236" t="s">
        <v>0</v>
      </c>
      <c r="C217" s="288"/>
      <c r="D217" s="465" t="s">
        <v>73</v>
      </c>
      <c r="E217" s="235"/>
      <c r="F217" s="235"/>
      <c r="G217" s="246"/>
      <c r="H217" s="235"/>
      <c r="I217" s="234"/>
      <c r="J217" s="234"/>
    </row>
    <row r="218" spans="2:14" ht="15" customHeight="1">
      <c r="B218" s="236">
        <f>IF(R_FS[[#This Row],[CY]]+R_FS[[#This Row],[PY]]=0,0,1)</f>
        <v>1</v>
      </c>
      <c r="C218" t="s">
        <v>573</v>
      </c>
      <c r="D218" s="431" t="str">
        <f>(INDEX(TB_FS!C:C,MATCH(C218,TB_FS!B:B,0)))</f>
        <v>Vehicle gas</v>
      </c>
      <c r="E218" s="241">
        <f ca="1">SUMIF(COA!$F$6:$I$173,C218,COA!$I$6:$I$173)</f>
        <v>12264.18</v>
      </c>
      <c r="F218" s="241" t="e">
        <f>SUMIF(COA!$F$6:$I$173,C218,COA!#REF!)</f>
        <v>#REF!</v>
      </c>
      <c r="G218" s="203"/>
      <c r="H218" s="235"/>
      <c r="I218" s="236">
        <f>IFERROR(INDEX(TB_FS!D:D, MATCH(C218, TB_FS!B:B, 0)), 0)</f>
        <v>13549</v>
      </c>
      <c r="J218" s="236">
        <f>IFERROR(INDEX(TB_FS!E:E, MATCH(C218, TB_FS!B:B, 0)), 0)</f>
        <v>12264</v>
      </c>
      <c r="K218" s="236">
        <f>IFERROR(INDEX(TB_FS!F:F, MATCH(C218, TB_FS!B:B, 0)), 0)</f>
        <v>12052</v>
      </c>
      <c r="L218" s="236">
        <f>IFERROR(INDEX(TB_FS!G:G,MATCH(C218,TB_FS!B:B,0)),0)</f>
        <v>12312</v>
      </c>
      <c r="M218" s="236">
        <f>IFERROR(INDEX(TB_FS!H:H, MATCH(C218, TB_FS!B:B, 0)), 0)</f>
        <v>10998</v>
      </c>
      <c r="N218" s="236">
        <f>IFERROR(INDEX(TB_FS!I:I, MATCH(C218, TB_FS!B:B, 0)), 0)</f>
        <v>0</v>
      </c>
    </row>
    <row r="219" spans="2:14" ht="15" customHeight="1">
      <c r="B219" s="236">
        <f>IF(R_FS[[#This Row],[CY]]+R_FS[[#This Row],[PY]]=0,0,1)</f>
        <v>1</v>
      </c>
      <c r="C219" t="s">
        <v>574</v>
      </c>
      <c r="D219" s="431" t="str">
        <f>(INDEX(TB_FS!C:C,MATCH(C219,TB_FS!B:B,0)))</f>
        <v>Vehicle other</v>
      </c>
      <c r="E219" s="241">
        <f ca="1">SUMIF(COA!$F$6:$I$173,C219,COA!$I$6:$I$173)</f>
        <v>21723.41</v>
      </c>
      <c r="F219" s="241" t="e">
        <f>SUMIF(COA!$F$6:$I$173,C219,COA!#REF!)</f>
        <v>#REF!</v>
      </c>
      <c r="G219" s="203"/>
      <c r="H219" s="235"/>
      <c r="I219" s="236">
        <f>IFERROR(INDEX(TB_FS!D:D, MATCH(C219, TB_FS!B:B, 0)), 0)</f>
        <v>19063</v>
      </c>
      <c r="J219" s="236">
        <f>IFERROR(INDEX(TB_FS!E:E, MATCH(C219, TB_FS!B:B, 0)), 0)</f>
        <v>21723</v>
      </c>
      <c r="K219" s="236">
        <f>IFERROR(INDEX(TB_FS!F:F, MATCH(C219, TB_FS!B:B, 0)), 0)</f>
        <v>30130</v>
      </c>
      <c r="L219" s="236">
        <f>IFERROR(INDEX(TB_FS!G:G,MATCH(C219,TB_FS!B:B,0)),0)</f>
        <v>23769</v>
      </c>
      <c r="M219" s="236">
        <f>IFERROR(INDEX(TB_FS!H:H, MATCH(C219, TB_FS!B:B, 0)), 0)</f>
        <v>25338</v>
      </c>
      <c r="N219" s="236">
        <f>IFERROR(INDEX(TB_FS!I:I, MATCH(C219, TB_FS!B:B, 0)), 0)</f>
        <v>0</v>
      </c>
    </row>
    <row r="220" spans="2:14" ht="15" hidden="1" customHeight="1">
      <c r="B220" s="236">
        <f>IF(R_FS[[#This Row],[CY]]+R_FS[[#This Row],[PY]]=0,0,1)</f>
        <v>0</v>
      </c>
      <c r="C220" t="s">
        <v>575</v>
      </c>
      <c r="D220" s="431" t="e">
        <f>(INDEX(TB_FS!C:C,MATCH(C220,TB_FS!B:B,0)))</f>
        <v>#N/A</v>
      </c>
      <c r="E220" s="241">
        <f ca="1">SUMIF(COA!$F$6:$I$173,C220,COA!$I$6:$I$173)</f>
        <v>0</v>
      </c>
      <c r="F220" s="241" t="e">
        <f>SUMIF(COA!$F$6:$I$173,C220,COA!#REF!)</f>
        <v>#REF!</v>
      </c>
      <c r="G220" s="203"/>
      <c r="H220" s="235"/>
      <c r="I220" s="236">
        <f>IFERROR(INDEX(TB_FS!D:D, MATCH(C220, TB_FS!B:B, 0)), 0)</f>
        <v>0</v>
      </c>
      <c r="J220" s="236">
        <f>IFERROR(INDEX(TB_FS!E:E, MATCH(C220, TB_FS!B:B, 0)), 0)</f>
        <v>0</v>
      </c>
      <c r="K220" s="236">
        <f>IFERROR(INDEX(TB_FS!F:F, MATCH(C220, TB_FS!B:B, 0)), 0)</f>
        <v>0</v>
      </c>
      <c r="L220" s="236">
        <f>IFERROR(INDEX(TB_FS!G:G,MATCH(C220,TB_FS!B:B,0)),0)</f>
        <v>0</v>
      </c>
      <c r="M220" s="236">
        <f>IFERROR(INDEX(TB_FS!H:H, MATCH(C220, TB_FS!B:B, 0)), 0)</f>
        <v>0</v>
      </c>
      <c r="N220" s="236">
        <f>IFERROR(INDEX(TB_FS!I:I, MATCH(C220, TB_FS!B:B, 0)), 0)</f>
        <v>0</v>
      </c>
    </row>
    <row r="221" spans="2:14" ht="15" customHeight="1">
      <c r="B221" s="236">
        <f>IF(R_FS[[#This Row],[CY]]+R_FS[[#This Row],[PY]]=0,0,1)</f>
        <v>1</v>
      </c>
      <c r="C221" t="s">
        <v>474</v>
      </c>
      <c r="D221" s="431" t="str">
        <f>(INDEX(TB_FS!C:C,MATCH(C221,TB_FS!B:B,0)))</f>
        <v>Vehicle insurance</v>
      </c>
      <c r="E221" s="241">
        <f ca="1">SUMIF(COA!$F$6:$I$173,C221,COA!$I$6:$I$173)</f>
        <v>11893.97</v>
      </c>
      <c r="F221" s="241" t="e">
        <f>SUMIF(COA!$F$6:$I$173,C221,COA!#REF!)</f>
        <v>#REF!</v>
      </c>
      <c r="G221" s="203"/>
      <c r="H221" s="235"/>
      <c r="I221" s="236">
        <f>IFERROR(INDEX(TB_FS!D:D, MATCH(C221, TB_FS!B:B, 0)), 0)</f>
        <v>7527</v>
      </c>
      <c r="J221" s="236">
        <f>IFERROR(INDEX(TB_FS!E:E, MATCH(C221, TB_FS!B:B, 0)), 0)</f>
        <v>11894</v>
      </c>
      <c r="K221" s="236">
        <f>IFERROR(INDEX(TB_FS!F:F, MATCH(C221, TB_FS!B:B, 0)), 0)</f>
        <v>11152</v>
      </c>
      <c r="L221" s="236">
        <f>IFERROR(INDEX(TB_FS!G:G,MATCH(C221,TB_FS!B:B,0)),0)</f>
        <v>12128</v>
      </c>
      <c r="M221" s="236">
        <f>IFERROR(INDEX(TB_FS!H:H, MATCH(C221, TB_FS!B:B, 0)), 0)</f>
        <v>8043</v>
      </c>
      <c r="N221" s="236">
        <f>IFERROR(INDEX(TB_FS!I:I, MATCH(C221, TB_FS!B:B, 0)), 0)</f>
        <v>0</v>
      </c>
    </row>
    <row r="222" spans="2:14" ht="15" customHeight="1">
      <c r="B222" s="236">
        <f>IF(R_FS[[#This Row],[CY]]+R_FS[[#This Row],[PY]]=0,0,1)</f>
        <v>1</v>
      </c>
      <c r="C222" s="337" t="s">
        <v>0</v>
      </c>
      <c r="D222" s="240"/>
      <c r="E222" s="240"/>
      <c r="F222" s="240"/>
      <c r="G222" s="298"/>
      <c r="H222" s="240"/>
      <c r="I222" s="239">
        <f>SUM(I218:I221)</f>
        <v>40139</v>
      </c>
      <c r="J222" s="239">
        <f>SUM(J218:J221)</f>
        <v>45881</v>
      </c>
      <c r="K222" s="239">
        <f t="shared" ref="K222:N222" si="54">SUM(K218:K221)</f>
        <v>53334</v>
      </c>
      <c r="L222" s="239">
        <f t="shared" si="54"/>
        <v>48209</v>
      </c>
      <c r="M222" s="239">
        <f t="shared" si="54"/>
        <v>44379</v>
      </c>
      <c r="N222" s="239">
        <f t="shared" si="54"/>
        <v>0</v>
      </c>
    </row>
    <row r="223" spans="2:14" ht="15" customHeight="1">
      <c r="B223" s="236" t="s">
        <v>0</v>
      </c>
      <c r="C223" s="288" t="s">
        <v>0</v>
      </c>
      <c r="D223" s="465" t="s">
        <v>236</v>
      </c>
      <c r="E223" s="235"/>
      <c r="F223" s="235"/>
      <c r="G223" s="246"/>
      <c r="H223" s="235"/>
      <c r="I223" s="234"/>
      <c r="J223" s="234"/>
    </row>
    <row r="224" spans="2:14" ht="15" customHeight="1">
      <c r="B224" s="236">
        <f>IF(R_FS[[#This Row],[CY]]+R_FS[[#This Row],[PY]]=0,0,1)</f>
        <v>1</v>
      </c>
      <c r="C224" t="s">
        <v>471</v>
      </c>
      <c r="D224" s="431" t="str">
        <f>(INDEX(TB_FS!C:C,MATCH(C224,TB_FS!B:B,0)))</f>
        <v>Rent</v>
      </c>
      <c r="E224" s="241">
        <f ca="1">SUMIF(COA!$F$6:$I$173,C224,COA!$I$6:$I$173)</f>
        <v>269846.30999999994</v>
      </c>
      <c r="F224" s="241" t="e">
        <f>SUMIF(COA!$F$6:$I$173,C224,COA!#REF!)</f>
        <v>#REF!</v>
      </c>
      <c r="G224" s="203"/>
      <c r="H224" s="235"/>
      <c r="I224" s="236">
        <f>IFERROR(INDEX(TB_FS!D:D, MATCH(C224, TB_FS!B:B, 0)), 0)</f>
        <v>283395</v>
      </c>
      <c r="J224" s="236">
        <f>IFERROR(INDEX(TB_FS!E:E, MATCH(C224, TB_FS!B:B, 0)), 0)</f>
        <v>269846</v>
      </c>
      <c r="K224" s="236">
        <f>IFERROR(INDEX(TB_FS!F:F, MATCH(C224, TB_FS!B:B, 0)), 0)</f>
        <v>249329</v>
      </c>
      <c r="L224" s="236">
        <f>IFERROR(INDEX(TB_FS!G:G,MATCH(C224,TB_FS!B:B,0)),0)</f>
        <v>245006</v>
      </c>
      <c r="M224" s="236">
        <f>IFERROR(INDEX(TB_FS!H:H, MATCH(C224, TB_FS!B:B, 0)), 0)</f>
        <v>214642</v>
      </c>
      <c r="N224" s="236">
        <f>IFERROR(INDEX(TB_FS!I:I, MATCH(C224, TB_FS!B:B, 0)), 0)</f>
        <v>0</v>
      </c>
    </row>
    <row r="225" spans="2:19" ht="15" customHeight="1">
      <c r="B225" s="236">
        <f>IF(R_FS[[#This Row],[CY]]+R_FS[[#This Row],[PY]]=0,0,1)</f>
        <v>1</v>
      </c>
      <c r="C225" t="s">
        <v>472</v>
      </c>
      <c r="D225" s="431" t="str">
        <f>(INDEX(TB_FS!C:C,MATCH(C225,TB_FS!B:B,0)))</f>
        <v>Municipal taxes</v>
      </c>
      <c r="E225" s="241">
        <f ca="1">SUMIF(COA!$F$6:$I$173,C225,COA!$I$6:$I$173)</f>
        <v>23263.159999999996</v>
      </c>
      <c r="F225" s="241" t="e">
        <f>SUMIF(COA!$F$6:$I$173,C225,COA!#REF!)</f>
        <v>#REF!</v>
      </c>
      <c r="G225" s="203"/>
      <c r="H225" s="235"/>
      <c r="I225" s="236">
        <f>IFERROR(INDEX(TB_FS!D:D, MATCH(C225, TB_FS!B:B, 0)), 0)</f>
        <v>24629</v>
      </c>
      <c r="J225" s="236">
        <f>IFERROR(INDEX(TB_FS!E:E, MATCH(C225, TB_FS!B:B, 0)), 0)</f>
        <v>23263</v>
      </c>
      <c r="K225" s="236">
        <f>IFERROR(INDEX(TB_FS!F:F, MATCH(C225, TB_FS!B:B, 0)), 0)</f>
        <v>20283</v>
      </c>
      <c r="L225" s="236">
        <f>IFERROR(INDEX(TB_FS!G:G,MATCH(C225,TB_FS!B:B,0)),0)</f>
        <v>21881</v>
      </c>
      <c r="M225" s="236">
        <f>IFERROR(INDEX(TB_FS!H:H, MATCH(C225, TB_FS!B:B, 0)), 0)</f>
        <v>16705</v>
      </c>
      <c r="N225" s="236">
        <f>IFERROR(INDEX(TB_FS!I:I, MATCH(C225, TB_FS!B:B, 0)), 0)</f>
        <v>0</v>
      </c>
    </row>
    <row r="226" spans="2:19" ht="17.45" customHeight="1">
      <c r="B226" s="236">
        <f>IF(R_FS[[#This Row],[CY]]+R_FS[[#This Row],[PY]]=0,0,1)</f>
        <v>1</v>
      </c>
      <c r="C226" t="s">
        <v>473</v>
      </c>
      <c r="D226" s="431" t="str">
        <f>(INDEX(TB_FS!C:C,MATCH(C226,TB_FS!B:B,0)))</f>
        <v>Light and heat</v>
      </c>
      <c r="E226" s="241">
        <f ca="1">SUMIF(COA!$F$6:$I$173,C226,COA!$I$6:$I$173)</f>
        <v>91172.900000000009</v>
      </c>
      <c r="F226" s="241" t="e">
        <f>SUMIF(COA!$F$6:$I$173,C226,COA!#REF!)</f>
        <v>#REF!</v>
      </c>
      <c r="G226" s="203"/>
      <c r="H226" s="235"/>
      <c r="I226" s="236">
        <f>IFERROR(INDEX(TB_FS!D:D, MATCH(C226, TB_FS!B:B, 0)), 0)</f>
        <v>86777</v>
      </c>
      <c r="J226" s="236">
        <f>IFERROR(INDEX(TB_FS!E:E, MATCH(C226, TB_FS!B:B, 0)), 0)</f>
        <v>91173</v>
      </c>
      <c r="K226" s="236">
        <f>IFERROR(INDEX(TB_FS!F:F, MATCH(C226, TB_FS!B:B, 0)), 0)</f>
        <v>87233</v>
      </c>
      <c r="L226" s="236">
        <f>IFERROR(INDEX(TB_FS!G:G,MATCH(C226,TB_FS!B:B,0)),0)</f>
        <v>81081</v>
      </c>
      <c r="M226" s="236">
        <f>IFERROR(INDEX(TB_FS!H:H, MATCH(C226, TB_FS!B:B, 0)), 0)</f>
        <v>50636</v>
      </c>
      <c r="N226" s="236">
        <f>IFERROR(INDEX(TB_FS!I:I, MATCH(C226, TB_FS!B:B, 0)), 0)</f>
        <v>0</v>
      </c>
    </row>
    <row r="227" spans="2:19" ht="15" customHeight="1">
      <c r="B227" s="236">
        <f>IF(R_FS[[#This Row],[CY]]+R_FS[[#This Row],[PY]]=0,0,1)</f>
        <v>1</v>
      </c>
      <c r="C227" s="112" t="s">
        <v>1360</v>
      </c>
      <c r="D227" s="431" t="str">
        <f>(INDEX(TB_FS!C:C,MATCH(C227,TB_FS!B:B,0)))</f>
        <v>Security</v>
      </c>
      <c r="E227" s="241">
        <f ca="1">SUMIF(COA!$F$6:$I$173,C227,COA!$I$6:$I$173)</f>
        <v>7949.2</v>
      </c>
      <c r="F227" s="241" t="e">
        <f>SUMIF(COA!$F$6:$I$173,C227,COA!#REF!)</f>
        <v>#REF!</v>
      </c>
      <c r="G227" s="203"/>
      <c r="H227" s="235"/>
      <c r="I227" s="236">
        <f>IFERROR(INDEX(TB_FS!D:D, MATCH(C227, TB_FS!B:B, 0)), 0)</f>
        <v>9417</v>
      </c>
      <c r="J227" s="236">
        <f>IFERROR(INDEX(TB_FS!E:E, MATCH(C227, TB_FS!B:B, 0)), 0)</f>
        <v>7949</v>
      </c>
      <c r="K227" s="236">
        <f>IFERROR(INDEX(TB_FS!F:F, MATCH(C227, TB_FS!B:B, 0)), 0)</f>
        <v>6476</v>
      </c>
      <c r="L227" s="236">
        <f>IFERROR(INDEX(TB_FS!G:G,MATCH(C227,TB_FS!B:B,0)),0)</f>
        <v>3410</v>
      </c>
      <c r="M227" s="236">
        <f>IFERROR(INDEX(TB_FS!H:H, MATCH(C227, TB_FS!B:B, 0)), 0)</f>
        <v>3408</v>
      </c>
      <c r="N227" s="236">
        <f>IFERROR(INDEX(TB_FS!I:I, MATCH(C227, TB_FS!B:B, 0)), 0)</f>
        <v>0</v>
      </c>
    </row>
    <row r="228" spans="2:19" ht="15" customHeight="1">
      <c r="B228" s="236">
        <f>IF(R_FS[[#This Row],[CY]]+R_FS[[#This Row],[PY]]=0,0,1)</f>
        <v>1</v>
      </c>
      <c r="C228" s="112" t="s">
        <v>1359</v>
      </c>
      <c r="D228" s="431" t="str">
        <f>(INDEX(TB_FS!C:C,MATCH(C228,TB_FS!B:B,0)))</f>
        <v>Repairs and maintenance</v>
      </c>
      <c r="E228" s="241">
        <f ca="1">SUMIF(COA!$F$6:$I$173,C228,COA!$I$6:$I$173)</f>
        <v>136667.17000000001</v>
      </c>
      <c r="F228" s="241" t="e">
        <f>SUMIF(COA!$F$6:$I$173,C228,COA!#REF!)</f>
        <v>#REF!</v>
      </c>
      <c r="G228" s="203"/>
      <c r="H228" s="235"/>
      <c r="I228" s="236">
        <f>IFERROR(INDEX(TB_FS!D:D, MATCH(C228, TB_FS!B:B, 0)), 0)</f>
        <v>214226</v>
      </c>
      <c r="J228" s="236">
        <f>IFERROR(INDEX(TB_FS!E:E, MATCH(C228, TB_FS!B:B, 0)), 0)</f>
        <v>136667</v>
      </c>
      <c r="K228" s="236">
        <f>IFERROR(INDEX(TB_FS!F:F, MATCH(C228, TB_FS!B:B, 0)), 0)</f>
        <v>107962</v>
      </c>
      <c r="L228" s="236">
        <f>IFERROR(INDEX(TB_FS!G:G,MATCH(C228,TB_FS!B:B,0)),0)</f>
        <v>79761</v>
      </c>
      <c r="M228" s="236">
        <f>IFERROR(INDEX(TB_FS!H:H, MATCH(C228, TB_FS!B:B, 0)), 0)</f>
        <v>61029</v>
      </c>
      <c r="N228" s="236">
        <f>IFERROR(INDEX(TB_FS!I:I, MATCH(C228, TB_FS!B:B, 0)), 0)</f>
        <v>0</v>
      </c>
    </row>
    <row r="229" spans="2:19" ht="15" customHeight="1">
      <c r="B229" s="236">
        <f>IF(R_FS[[#This Row],[CY]]+R_FS[[#This Row],[PY]]=0,0,1)</f>
        <v>1</v>
      </c>
      <c r="C229" s="112" t="s">
        <v>639</v>
      </c>
      <c r="D229" s="431" t="str">
        <f>(INDEX(TB_FS!C:C,MATCH(C229,TB_FS!B:B,0)))</f>
        <v>Premises insurance</v>
      </c>
      <c r="E229" s="241">
        <f ca="1">SUMIF(COA!$F$6:$I$173,C229,COA!$I$6:$I$173)</f>
        <v>5559.3200000000006</v>
      </c>
      <c r="F229" s="241" t="e">
        <f>SUMIF(COA!$F$6:$I$173,C229,COA!#REF!)</f>
        <v>#REF!</v>
      </c>
      <c r="G229" s="203"/>
      <c r="H229" s="235"/>
      <c r="I229" s="236">
        <f>IFERROR(INDEX(TB_FS!D:D, MATCH(C229, TB_FS!B:B, 0)), 0)</f>
        <v>31718</v>
      </c>
      <c r="J229" s="236">
        <f>IFERROR(INDEX(TB_FS!E:E, MATCH(C229, TB_FS!B:B, 0)), 0)</f>
        <v>5559</v>
      </c>
      <c r="K229" s="236">
        <f>IFERROR(INDEX(TB_FS!F:F, MATCH(C229, TB_FS!B:B, 0)), 0)</f>
        <v>18827</v>
      </c>
      <c r="L229" s="236">
        <f>IFERROR(INDEX(TB_FS!G:G,MATCH(C229,TB_FS!B:B,0)),0)</f>
        <v>29220</v>
      </c>
      <c r="M229" s="236">
        <f>IFERROR(INDEX(TB_FS!H:H, MATCH(C229, TB_FS!B:B, 0)), 0)</f>
        <v>32929</v>
      </c>
      <c r="N229" s="236">
        <f>IFERROR(INDEX(TB_FS!I:I, MATCH(C229, TB_FS!B:B, 0)), 0)</f>
        <v>0</v>
      </c>
    </row>
    <row r="230" spans="2:19" ht="15" customHeight="1">
      <c r="B230" s="236">
        <f>IF(R_FS[[#This Row],[CY]]+R_FS[[#This Row],[PY]]=0,0,1)</f>
        <v>1</v>
      </c>
      <c r="C230" s="288"/>
      <c r="D230" s="240"/>
      <c r="E230" s="240"/>
      <c r="F230" s="240"/>
      <c r="G230" s="298"/>
      <c r="H230" s="240"/>
      <c r="I230" s="239">
        <f>SUM(I224:I229)</f>
        <v>650162</v>
      </c>
      <c r="J230" s="239">
        <f>SUM(J224:J229)</f>
        <v>534457</v>
      </c>
      <c r="K230" s="239">
        <f t="shared" ref="K230:N230" si="55">SUM(K224:K229)</f>
        <v>490110</v>
      </c>
      <c r="L230" s="239">
        <f t="shared" si="55"/>
        <v>460359</v>
      </c>
      <c r="M230" s="239">
        <f t="shared" si="55"/>
        <v>379349</v>
      </c>
      <c r="N230" s="239">
        <f t="shared" si="55"/>
        <v>0</v>
      </c>
    </row>
    <row r="231" spans="2:19" ht="15" customHeight="1">
      <c r="B231" s="236" t="s">
        <v>0</v>
      </c>
      <c r="C231" s="288"/>
      <c r="D231" s="240"/>
      <c r="E231" s="240"/>
      <c r="F231" s="240"/>
      <c r="G231" s="298" t="s">
        <v>0</v>
      </c>
      <c r="H231" s="240"/>
      <c r="I231" s="234" t="s">
        <v>0</v>
      </c>
      <c r="J231" s="234" t="s">
        <v>0</v>
      </c>
      <c r="K231" s="234"/>
      <c r="L231" s="234"/>
      <c r="M231" s="234"/>
      <c r="N231" s="234"/>
    </row>
    <row r="232" spans="2:19" ht="15" customHeight="1">
      <c r="B232" s="236" t="s">
        <v>0</v>
      </c>
      <c r="C232" s="288"/>
      <c r="D232" s="240"/>
      <c r="E232" s="240"/>
      <c r="F232" s="240"/>
      <c r="G232" s="298" t="s">
        <v>0</v>
      </c>
      <c r="H232" s="240"/>
      <c r="I232" s="234" t="s">
        <v>0</v>
      </c>
      <c r="J232" s="234" t="s">
        <v>0</v>
      </c>
      <c r="K232" s="234"/>
      <c r="L232" s="234"/>
      <c r="M232" s="234"/>
      <c r="N232" s="234"/>
    </row>
    <row r="233" spans="2:19" ht="15" customHeight="1">
      <c r="B233" s="236" t="s">
        <v>0</v>
      </c>
      <c r="C233" s="288"/>
      <c r="E233" s="556"/>
      <c r="F233" s="556"/>
      <c r="G233" s="246"/>
      <c r="I233" s="556"/>
      <c r="J233" s="556"/>
      <c r="M233" s="440" t="s">
        <v>1086</v>
      </c>
      <c r="N233" s="243"/>
      <c r="O233" s="243"/>
      <c r="P233" s="760"/>
    </row>
    <row r="234" spans="2:19" ht="15" customHeight="1">
      <c r="B234" s="236" t="s">
        <v>0</v>
      </c>
      <c r="C234" s="288"/>
      <c r="E234" s="556"/>
      <c r="F234" s="556"/>
      <c r="G234" s="246" t="s">
        <v>0</v>
      </c>
      <c r="I234" s="556" t="s">
        <v>0</v>
      </c>
      <c r="J234" s="556" t="s">
        <v>0</v>
      </c>
      <c r="M234" s="440" t="s">
        <v>1478</v>
      </c>
      <c r="N234" s="267"/>
      <c r="O234" s="267"/>
      <c r="P234" s="761"/>
    </row>
    <row r="235" spans="2:19" ht="15" customHeight="1" thickBot="1">
      <c r="B235" s="236" t="s">
        <v>0</v>
      </c>
      <c r="C235" s="288"/>
      <c r="D235" s="452"/>
      <c r="E235" s="556"/>
      <c r="F235" s="556"/>
      <c r="G235" s="464" t="s">
        <v>0</v>
      </c>
      <c r="H235" s="452"/>
      <c r="I235" s="757" t="s">
        <v>0</v>
      </c>
      <c r="J235" s="757" t="s">
        <v>0</v>
      </c>
      <c r="K235" s="452"/>
      <c r="L235" s="452"/>
      <c r="M235" s="497" t="str">
        <f>"For the year ended "&amp;(TEXT(COA!$B$4,"MMMM DD, YYYY"))</f>
        <v>For the year ended December 31, 2025</v>
      </c>
      <c r="N235" s="448"/>
      <c r="O235" s="448"/>
      <c r="P235" s="762"/>
      <c r="Q235" s="762"/>
      <c r="R235" s="452"/>
      <c r="S235" s="452"/>
    </row>
    <row r="236" spans="2:19" ht="15" customHeight="1" thickTop="1">
      <c r="B236" s="236" t="s">
        <v>0</v>
      </c>
      <c r="C236" s="288"/>
      <c r="E236" s="556"/>
      <c r="F236" s="556"/>
      <c r="G236" s="246" t="s">
        <v>0</v>
      </c>
      <c r="I236" s="556" t="s">
        <v>0</v>
      </c>
      <c r="J236" s="556" t="s">
        <v>0</v>
      </c>
    </row>
    <row r="237" spans="2:19" ht="15" customHeight="1">
      <c r="B237" s="236" t="s">
        <v>0</v>
      </c>
      <c r="C237" s="112" t="s">
        <v>0</v>
      </c>
      <c r="D237" s="441" t="s">
        <v>1245</v>
      </c>
      <c r="E237" s="469"/>
      <c r="F237" s="469"/>
      <c r="G237" s="246" t="s">
        <v>0</v>
      </c>
      <c r="H237" s="259"/>
      <c r="I237" s="759"/>
      <c r="J237" s="759"/>
      <c r="N237" s="236">
        <f>IFERROR(INDEX(TB_FS!I:I, MATCH(C237, TB_FS!B:B, 0)), 0)</f>
        <v>0</v>
      </c>
    </row>
    <row r="238" spans="2:19" ht="15" customHeight="1">
      <c r="B238" s="236">
        <f>IF(R_FS[[#This Row],[CY]]+R_FS[[#This Row],[PY]]=0,0,1)</f>
        <v>1</v>
      </c>
      <c r="C238" s="112" t="s">
        <v>579</v>
      </c>
      <c r="D238" s="431" t="str">
        <f>(INDEX(TB_FS!C:C,MATCH(C238,TB_FS!B:B,0)))</f>
        <v>Store supplies</v>
      </c>
      <c r="E238" s="241">
        <f ca="1">SUMIF(COA!$F$6:$I$173,C237,COA!$I$6:$I$173)</f>
        <v>0</v>
      </c>
      <c r="F238" s="241" t="e">
        <f>SUMIF(COA!$F$6:$I$173,C237,COA!#REF!)</f>
        <v>#REF!</v>
      </c>
      <c r="G238" s="203"/>
      <c r="H238" s="235"/>
      <c r="I238" s="236">
        <f>IFERROR(INDEX(TB_FS!D:D, MATCH(C238, TB_FS!B:B, 0)), 0)</f>
        <v>145055</v>
      </c>
      <c r="J238" s="236">
        <f>IFERROR(INDEX(TB_FS!E:E, MATCH(C238, TB_FS!B:B, 0)), 0)</f>
        <v>99967</v>
      </c>
      <c r="K238" s="236">
        <f>IFERROR(INDEX(TB_FS!F:F, MATCH(C238, TB_FS!B:B, 0)), 0)</f>
        <v>90894</v>
      </c>
      <c r="L238" s="236">
        <f>IFERROR(INDEX(TB_FS!G:G,MATCH(C238,TB_FS!B:B,0)),0)</f>
        <v>66862</v>
      </c>
      <c r="M238" s="236">
        <f>IFERROR(INDEX(TB_FS!H:H, MATCH(C238, TB_FS!B:B, 0)), 0)</f>
        <v>46429</v>
      </c>
      <c r="N238" s="236"/>
    </row>
    <row r="239" spans="2:19" ht="15" customHeight="1">
      <c r="B239" s="236">
        <f>IF(R_FS[[#This Row],[CY]]+R_FS[[#This Row],[PY]]=0,0,1)</f>
        <v>1</v>
      </c>
      <c r="C239" s="112" t="s">
        <v>1363</v>
      </c>
      <c r="D239" s="431" t="str">
        <f>(INDEX(TB_FS!C:C,MATCH(C239,TB_FS!B:B,0)))</f>
        <v xml:space="preserve"> Kitchen Supplies</v>
      </c>
      <c r="E239" s="241">
        <f ca="1">SUMIF(COA!$F$6:$I$173,C239,COA!$I$6:$I$173)</f>
        <v>5770.86</v>
      </c>
      <c r="F239" s="241" t="e">
        <f>SUMIF(COA!$F$6:$I$173,C239,COA!#REF!)</f>
        <v>#REF!</v>
      </c>
      <c r="G239" s="203"/>
      <c r="H239" s="235"/>
      <c r="I239" s="236">
        <f>IFERROR(INDEX(TB_FS!D:D, MATCH(C239, TB_FS!B:B, 0)), 0)</f>
        <v>5697</v>
      </c>
      <c r="J239" s="236">
        <f>IFERROR(INDEX(TB_FS!E:E, MATCH(C239, TB_FS!B:B, 0)), 0)</f>
        <v>5771</v>
      </c>
      <c r="K239" s="236">
        <f>IFERROR(INDEX(TB_FS!F:F, MATCH(C239, TB_FS!B:B, 0)), 0)</f>
        <v>5489</v>
      </c>
      <c r="L239" s="236">
        <f>IFERROR(INDEX(TB_FS!G:G,MATCH(C239,TB_FS!B:B,0)),0)</f>
        <v>6836</v>
      </c>
      <c r="M239" s="236">
        <f>IFERROR(INDEX(TB_FS!H:H, MATCH(C239, TB_FS!B:B, 0)), 0)</f>
        <v>7112</v>
      </c>
      <c r="N239" s="236">
        <f>IFERROR(INDEX(TB_FS!I:I, MATCH(C239, TB_FS!B:B, 0)), 0)</f>
        <v>0</v>
      </c>
    </row>
    <row r="240" spans="2:19" ht="15" customHeight="1">
      <c r="B240" s="236">
        <f>IF(R_FS[[#This Row],[CY]]+R_FS[[#This Row],[PY]]=0,0,1)</f>
        <v>1</v>
      </c>
      <c r="C240" s="112" t="s">
        <v>1247</v>
      </c>
      <c r="D240" s="431" t="str">
        <f>(INDEX(TB_FS!C:C,MATCH(C240,TB_FS!B:B,0)))</f>
        <v xml:space="preserve"> Uniforms</v>
      </c>
      <c r="E240" s="241">
        <f ca="1">SUMIF(COA!$F$6:$I$173,C240,COA!$I$6:$I$173)</f>
        <v>4975.9499999999989</v>
      </c>
      <c r="F240" s="241" t="e">
        <f>SUMIF(COA!$F$6:$I$173,C240,COA!#REF!)</f>
        <v>#REF!</v>
      </c>
      <c r="G240" s="203"/>
      <c r="H240" s="235"/>
      <c r="I240" s="236">
        <f>IFERROR(INDEX(TB_FS!D:D, MATCH(C240, TB_FS!B:B, 0)), 0)</f>
        <v>5864</v>
      </c>
      <c r="J240" s="236">
        <f>IFERROR(INDEX(TB_FS!E:E, MATCH(C240, TB_FS!B:B, 0)), 0)</f>
        <v>4976</v>
      </c>
      <c r="K240" s="236">
        <f>IFERROR(INDEX(TB_FS!F:F, MATCH(C240, TB_FS!B:B, 0)), 0)</f>
        <v>7938</v>
      </c>
      <c r="L240" s="236">
        <f>IFERROR(INDEX(TB_FS!G:G,MATCH(C240,TB_FS!B:B,0)),0)</f>
        <v>11363</v>
      </c>
      <c r="M240" s="236">
        <f>IFERROR(INDEX(TB_FS!H:H, MATCH(C240, TB_FS!B:B, 0)), 0)</f>
        <v>8070</v>
      </c>
      <c r="N240" s="236">
        <f>IFERROR(INDEX(TB_FS!I:I, MATCH(C240, TB_FS!B:B, 0)), 0)</f>
        <v>0</v>
      </c>
    </row>
    <row r="241" spans="2:14" ht="17.45" customHeight="1">
      <c r="B241" s="236">
        <f>IF(R_FS[[#This Row],[CY]]+R_FS[[#This Row],[PY]]=0,0,1)</f>
        <v>1</v>
      </c>
      <c r="C241" s="288"/>
      <c r="D241" s="240"/>
      <c r="E241" s="240"/>
      <c r="F241" s="240"/>
      <c r="G241" s="298" t="s">
        <v>0</v>
      </c>
      <c r="H241" s="240"/>
      <c r="I241" s="239">
        <f>SUM(I238:I240)</f>
        <v>156616</v>
      </c>
      <c r="J241" s="239">
        <f>SUM(J238:J240)</f>
        <v>110714</v>
      </c>
      <c r="K241" s="239">
        <f>SUM(K238:K240)</f>
        <v>104321</v>
      </c>
      <c r="L241" s="239">
        <f>SUM(L238:L240)</f>
        <v>85061</v>
      </c>
      <c r="M241" s="239">
        <f>SUM(M238:M240)</f>
        <v>61611</v>
      </c>
      <c r="N241" s="239">
        <f t="shared" ref="N241" si="56">SUM(N237:N240)</f>
        <v>0</v>
      </c>
    </row>
    <row r="242" spans="2:14" ht="15" customHeight="1">
      <c r="B242" s="236" t="s">
        <v>0</v>
      </c>
      <c r="C242" s="288"/>
      <c r="D242" s="465" t="s">
        <v>249</v>
      </c>
      <c r="E242" s="235"/>
      <c r="F242" s="235"/>
      <c r="G242" s="246"/>
      <c r="H242" s="235"/>
      <c r="I242" s="234"/>
      <c r="J242" s="234"/>
    </row>
    <row r="243" spans="2:14" ht="15" customHeight="1">
      <c r="B243" s="236">
        <f>IF(R_FS[[#This Row],[CY]]+R_FS[[#This Row],[PY]]=0,0,1)</f>
        <v>1</v>
      </c>
      <c r="C243" s="112" t="s">
        <v>1364</v>
      </c>
      <c r="D243" s="431" t="str">
        <f>(INDEX(TB_FS!C:C,MATCH(C243,TB_FS!B:B,0)))</f>
        <v>Franchise fees</v>
      </c>
      <c r="E243" s="241">
        <f ca="1">SUMIF(COA!$F$6:$I$173,C243,COA!$I$6:$I$173)</f>
        <v>743163.04</v>
      </c>
      <c r="F243" s="241" t="e">
        <f>SUMIF(COA!$F$6:$I$173,C243,COA!#REF!)</f>
        <v>#REF!</v>
      </c>
      <c r="G243" s="203"/>
      <c r="H243" s="235"/>
      <c r="I243" s="236">
        <f>IFERROR(INDEX(TB_FS!D:D, MATCH(C243, TB_FS!B:B, 0)), 0)</f>
        <v>810542</v>
      </c>
      <c r="J243" s="236">
        <f>IFERROR(INDEX(TB_FS!E:E, MATCH(C243, TB_FS!B:B, 0)), 0)</f>
        <v>743163</v>
      </c>
      <c r="K243" s="236">
        <f>IFERROR(INDEX(TB_FS!F:F, MATCH(C243, TB_FS!B:B, 0)), 0)</f>
        <v>729920</v>
      </c>
      <c r="L243" s="236">
        <f>IFERROR(INDEX(TB_FS!G:G,MATCH(C243,TB_FS!B:B,0)),0)</f>
        <v>694824</v>
      </c>
      <c r="M243" s="236">
        <f>IFERROR(INDEX(TB_FS!H:H, MATCH(C243, TB_FS!B:B, 0)), 0)</f>
        <v>541799</v>
      </c>
      <c r="N243" s="236">
        <f>IFERROR(INDEX(TB_FS!I:I, MATCH(C243, TB_FS!B:B, 0)), 0)</f>
        <v>0</v>
      </c>
    </row>
    <row r="244" spans="2:14" ht="15" customHeight="1">
      <c r="B244" s="236">
        <f>IF(R_FS[[#This Row],[CY]]+R_FS[[#This Row],[PY]]=0,0,1)</f>
        <v>1</v>
      </c>
      <c r="C244" t="s">
        <v>584</v>
      </c>
      <c r="D244" s="431" t="str">
        <f>(INDEX(TB_FS!C:C,MATCH(C244,TB_FS!B:B,0)))</f>
        <v>Advertising</v>
      </c>
      <c r="E244" s="241">
        <f ca="1">SUMIF(COA!$F$6:$I$173,C244,COA!$I$6:$I$173)</f>
        <v>116135.76</v>
      </c>
      <c r="F244" s="241" t="e">
        <f>SUMIF(COA!$F$6:$I$173,C244,COA!#REF!)</f>
        <v>#REF!</v>
      </c>
      <c r="G244" s="203"/>
      <c r="H244" s="235"/>
      <c r="I244" s="236">
        <f>IFERROR(INDEX(TB_FS!D:D, MATCH(C244, TB_FS!B:B, 0)), 0)</f>
        <v>105801</v>
      </c>
      <c r="J244" s="236">
        <f>IFERROR(INDEX(TB_FS!E:E, MATCH(C244, TB_FS!B:B, 0)), 0)</f>
        <v>116136</v>
      </c>
      <c r="K244" s="236">
        <f>IFERROR(INDEX(TB_FS!F:F, MATCH(C244, TB_FS!B:B, 0)), 0)</f>
        <v>34991</v>
      </c>
      <c r="L244" s="236">
        <f>IFERROR(INDEX(TB_FS!G:G,MATCH(C244,TB_FS!B:B,0)),0)</f>
        <v>12302</v>
      </c>
      <c r="M244" s="236">
        <f>IFERROR(INDEX(TB_FS!H:H, MATCH(C244, TB_FS!B:B, 0)), 0)</f>
        <v>12929</v>
      </c>
      <c r="N244" s="236">
        <f>IFERROR(INDEX(TB_FS!I:I, MATCH(C244, TB_FS!B:B, 0)), 0)</f>
        <v>0</v>
      </c>
    </row>
    <row r="245" spans="2:14" ht="15" customHeight="1">
      <c r="B245" s="236">
        <f>IF(R_FS[[#This Row],[CY]]+R_FS[[#This Row],[PY]]=0,0,1)</f>
        <v>1</v>
      </c>
      <c r="C245" t="s">
        <v>585</v>
      </c>
      <c r="D245" s="431" t="str">
        <f>(INDEX(TB_FS!C:C,MATCH(C245,TB_FS!B:B,0)))</f>
        <v>Meals and entertainment</v>
      </c>
      <c r="E245" s="241">
        <f ca="1">SUMIF(COA!$F$6:$I$173,C245,COA!$I$6:$I$173)</f>
        <v>15613.98</v>
      </c>
      <c r="F245" s="241" t="e">
        <f>SUMIF(COA!$F$6:$I$173,C245,COA!#REF!)</f>
        <v>#REF!</v>
      </c>
      <c r="G245" s="203"/>
      <c r="H245" s="235"/>
      <c r="I245" s="236">
        <f>IFERROR(INDEX(TB_FS!D:D, MATCH(C245, TB_FS!B:B, 0)), 0)</f>
        <v>21450</v>
      </c>
      <c r="J245" s="236">
        <f>IFERROR(INDEX(TB_FS!E:E, MATCH(C245, TB_FS!B:B, 0)), 0)</f>
        <v>15614</v>
      </c>
      <c r="K245" s="236">
        <f>IFERROR(INDEX(TB_FS!F:F, MATCH(C245, TB_FS!B:B, 0)), 0)</f>
        <v>22075</v>
      </c>
      <c r="L245" s="236">
        <f>IFERROR(INDEX(TB_FS!G:G,MATCH(C245,TB_FS!B:B,0)),0)</f>
        <v>25651</v>
      </c>
      <c r="M245" s="236">
        <f>IFERROR(INDEX(TB_FS!H:H, MATCH(C245, TB_FS!B:B, 0)), 0)</f>
        <v>10356</v>
      </c>
      <c r="N245" s="236">
        <f>IFERROR(INDEX(TB_FS!I:I, MATCH(C245, TB_FS!B:B, 0)), 0)</f>
        <v>0</v>
      </c>
    </row>
    <row r="246" spans="2:14" ht="15" customHeight="1">
      <c r="B246" s="236">
        <f>IF(R_FS[[#This Row],[CY]]+R_FS[[#This Row],[PY]]=0,0,1)</f>
        <v>1</v>
      </c>
      <c r="C246" t="s">
        <v>586</v>
      </c>
      <c r="D246" s="431" t="str">
        <f>(INDEX(TB_FS!C:C,MATCH(C246,TB_FS!B:B,0)))</f>
        <v>Donations</v>
      </c>
      <c r="E246" s="241">
        <f ca="1">SUMIF(COA!$F$6:$I$173,C246,COA!$I$6:$I$173)</f>
        <v>2729.55</v>
      </c>
      <c r="F246" s="241" t="e">
        <f>SUMIF(COA!$F$6:$I$173,C246,COA!#REF!)</f>
        <v>#REF!</v>
      </c>
      <c r="G246" s="203"/>
      <c r="H246" s="235"/>
      <c r="I246" s="236">
        <f>IFERROR(INDEX(TB_FS!D:D, MATCH(C246, TB_FS!B:B, 0)), 0)</f>
        <v>4802</v>
      </c>
      <c r="J246" s="236">
        <f>IFERROR(INDEX(TB_FS!E:E, MATCH(C246, TB_FS!B:B, 0)), 0)</f>
        <v>2730</v>
      </c>
      <c r="K246" s="236">
        <f>IFERROR(INDEX(TB_FS!F:F, MATCH(C246, TB_FS!B:B, 0)), 0)</f>
        <v>2000</v>
      </c>
      <c r="L246" s="236">
        <f>IFERROR(INDEX(TB_FS!G:G,MATCH(C246,TB_FS!B:B,0)),0)</f>
        <v>5600</v>
      </c>
      <c r="M246" s="236">
        <f>IFERROR(INDEX(TB_FS!H:H, MATCH(C246, TB_FS!B:B, 0)), 0)</f>
        <v>1339</v>
      </c>
      <c r="N246" s="236">
        <f>IFERROR(INDEX(TB_FS!I:I, MATCH(C246, TB_FS!B:B, 0)), 0)</f>
        <v>0</v>
      </c>
    </row>
    <row r="247" spans="2:14" ht="17.45" customHeight="1">
      <c r="B247" s="236">
        <f>IF(R_FS[[#This Row],[CY]]+R_FS[[#This Row],[PY]]=0,0,1)</f>
        <v>1</v>
      </c>
      <c r="C247" s="288"/>
      <c r="D247" s="240"/>
      <c r="E247" s="240"/>
      <c r="F247" s="240"/>
      <c r="G247" s="298"/>
      <c r="H247" s="240"/>
      <c r="I247" s="239">
        <f t="shared" ref="I247:N247" si="57">SUM(I243:I246)</f>
        <v>942595</v>
      </c>
      <c r="J247" s="239">
        <f t="shared" si="57"/>
        <v>877643</v>
      </c>
      <c r="K247" s="239">
        <f t="shared" si="57"/>
        <v>788986</v>
      </c>
      <c r="L247" s="239">
        <f t="shared" si="57"/>
        <v>738377</v>
      </c>
      <c r="M247" s="239">
        <f t="shared" si="57"/>
        <v>566423</v>
      </c>
      <c r="N247" s="239">
        <f t="shared" si="57"/>
        <v>0</v>
      </c>
    </row>
    <row r="248" spans="2:14" ht="15" customHeight="1">
      <c r="B248" s="236" t="s">
        <v>0</v>
      </c>
      <c r="C248" s="288"/>
      <c r="D248" s="235"/>
      <c r="E248" s="235"/>
      <c r="F248" s="235"/>
      <c r="G248" s="246" t="s">
        <v>0</v>
      </c>
      <c r="H248" s="235"/>
      <c r="I248" s="234" t="s">
        <v>0</v>
      </c>
      <c r="J248" s="234" t="s">
        <v>0</v>
      </c>
    </row>
    <row r="249" spans="2:14" ht="15" customHeight="1" thickBot="1">
      <c r="B249" s="236">
        <f>IF(R_FS[[#This Row],[CY]]+R_FS[[#This Row],[PY]]=0,0,1)</f>
        <v>1</v>
      </c>
      <c r="C249" s="288"/>
      <c r="D249" s="463" t="s">
        <v>250</v>
      </c>
      <c r="E249" s="463"/>
      <c r="F249" s="463"/>
      <c r="G249" s="464"/>
      <c r="H249" s="463"/>
      <c r="I249" s="756">
        <f t="shared" ref="I249:N249" si="58">I194+I204+I211+I216+I222+I230+I241+I247</f>
        <v>2558763</v>
      </c>
      <c r="J249" s="756">
        <f t="shared" si="58"/>
        <v>2741844</v>
      </c>
      <c r="K249" s="756">
        <f t="shared" si="58"/>
        <v>2210890</v>
      </c>
      <c r="L249" s="756">
        <f t="shared" si="58"/>
        <v>2037465</v>
      </c>
      <c r="M249" s="756">
        <f t="shared" si="58"/>
        <v>1594616</v>
      </c>
      <c r="N249" s="756">
        <f t="shared" si="58"/>
        <v>0</v>
      </c>
    </row>
    <row r="250" spans="2:14" ht="15" customHeight="1" thickTop="1">
      <c r="B250" s="236" t="s">
        <v>0</v>
      </c>
      <c r="C250" s="288"/>
      <c r="D250" s="235"/>
      <c r="E250" s="235"/>
      <c r="F250" s="235"/>
      <c r="G250" s="246"/>
      <c r="H250" s="235"/>
      <c r="I250" s="236"/>
      <c r="J250" s="236"/>
    </row>
    <row r="251" spans="2:14" ht="15" customHeight="1">
      <c r="B251" s="236" t="s">
        <v>0</v>
      </c>
      <c r="C251" s="288"/>
      <c r="D251" s="235"/>
      <c r="E251" s="235"/>
      <c r="F251" s="235"/>
      <c r="G251" s="246"/>
      <c r="H251" s="235"/>
      <c r="I251" s="502"/>
      <c r="J251" s="504"/>
    </row>
    <row r="252" spans="2:14" ht="15" customHeight="1">
      <c r="B252" s="236" t="s">
        <v>0</v>
      </c>
      <c r="C252" s="288"/>
      <c r="D252" s="252" t="s">
        <v>0</v>
      </c>
      <c r="E252" s="243"/>
      <c r="F252" s="243"/>
      <c r="G252" s="243"/>
      <c r="H252" s="243"/>
      <c r="I252" s="493"/>
      <c r="J252" s="556"/>
      <c r="M252" s="494" t="str">
        <f>UPPER(COA!$B$2)</f>
        <v>ANONYMOUS COMPANY</v>
      </c>
    </row>
    <row r="253" spans="2:14" ht="15" customHeight="1">
      <c r="B253" s="236" t="s">
        <v>0</v>
      </c>
      <c r="C253" s="288"/>
      <c r="D253" s="333" t="s">
        <v>0</v>
      </c>
      <c r="E253" s="238"/>
      <c r="F253" s="238"/>
      <c r="G253" s="334"/>
      <c r="H253" s="238"/>
      <c r="I253" s="502"/>
      <c r="J253" s="556"/>
      <c r="M253" s="495" t="s">
        <v>542</v>
      </c>
    </row>
    <row r="254" spans="2:14" ht="17.45" customHeight="1" thickBot="1">
      <c r="B254" s="236" t="s">
        <v>0</v>
      </c>
      <c r="C254" s="288"/>
      <c r="D254" s="448" t="s">
        <v>0</v>
      </c>
      <c r="E254" s="448"/>
      <c r="F254" s="448"/>
      <c r="G254" s="448"/>
      <c r="H254" s="448"/>
      <c r="I254" s="496"/>
      <c r="J254" s="496"/>
      <c r="K254" s="452"/>
      <c r="L254" s="452"/>
      <c r="M254" s="497" t="str">
        <f>"For the year ended "&amp;(TEXT(COA!$B$4,"MMMM DD, YYYY"))</f>
        <v>For the year ended December 31, 2025</v>
      </c>
    </row>
    <row r="255" spans="2:14" ht="15" customHeight="1" thickTop="1">
      <c r="B255" s="236" t="s">
        <v>0</v>
      </c>
      <c r="C255" s="288"/>
      <c r="D255" s="235"/>
      <c r="E255" s="235"/>
      <c r="F255" s="235"/>
      <c r="G255" s="246"/>
      <c r="H255" s="235"/>
      <c r="I255" s="445">
        <f>YEAR(COA!$B$4)</f>
        <v>2025</v>
      </c>
      <c r="J255" s="446">
        <f>R_FS[[#This Row],[CY]]-1</f>
        <v>2024</v>
      </c>
      <c r="K255" s="447">
        <f>R_FS[[#This Row],[PY]]-1</f>
        <v>2023</v>
      </c>
      <c r="L255" s="447">
        <f>R_FS[[#This Row],[PY2]]-1</f>
        <v>2022</v>
      </c>
      <c r="M255" s="447">
        <f>R_FS[[#This Row],[PY3]]-1</f>
        <v>2021</v>
      </c>
      <c r="N255" s="447">
        <f>R_FS[[#This Row],[PY4]]-1</f>
        <v>2020</v>
      </c>
    </row>
    <row r="256" spans="2:14" ht="15" customHeight="1">
      <c r="B256" s="236" t="s">
        <v>0</v>
      </c>
      <c r="C256" s="288"/>
      <c r="D256" s="237"/>
      <c r="E256" s="237"/>
      <c r="F256" s="237"/>
      <c r="G256" s="297"/>
      <c r="H256" s="237"/>
      <c r="I256" s="358" t="s">
        <v>260</v>
      </c>
      <c r="J256" s="359" t="s">
        <v>260</v>
      </c>
      <c r="K256" s="358" t="s">
        <v>260</v>
      </c>
      <c r="L256" s="358" t="s">
        <v>260</v>
      </c>
      <c r="M256" s="358" t="s">
        <v>260</v>
      </c>
      <c r="N256" s="358" t="s">
        <v>260</v>
      </c>
    </row>
    <row r="257" spans="2:15" ht="15" customHeight="1">
      <c r="B257" s="236" t="s">
        <v>0</v>
      </c>
      <c r="C257" s="288"/>
      <c r="D257" s="235"/>
      <c r="E257" s="235"/>
      <c r="F257" s="235"/>
      <c r="G257" s="246"/>
      <c r="H257" s="235"/>
      <c r="I257" s="268" t="s">
        <v>0</v>
      </c>
      <c r="J257" s="295" t="s">
        <v>0</v>
      </c>
    </row>
    <row r="258" spans="2:15" ht="15" customHeight="1">
      <c r="B258" s="236" t="s">
        <v>0</v>
      </c>
      <c r="C258" s="338"/>
      <c r="D258" s="477" t="s">
        <v>101</v>
      </c>
      <c r="E258" s="270"/>
      <c r="F258" s="271" t="s">
        <v>0</v>
      </c>
      <c r="G258" s="271"/>
      <c r="H258" s="269"/>
      <c r="I258" s="270"/>
      <c r="J258" s="270"/>
    </row>
    <row r="259" spans="2:15" ht="15" hidden="1" customHeight="1">
      <c r="B259" s="236">
        <f>IF(R_FS[[#This Row],[CY]]+R_FS[[#This Row],[PY]]=0,0,1)</f>
        <v>0</v>
      </c>
      <c r="C259" t="s">
        <v>561</v>
      </c>
      <c r="D259" s="431" t="str">
        <f>(INDEX(TB_FS!C:C,MATCH(C259,TB_FS!B:B,0)))</f>
        <v>Canadian investment income</v>
      </c>
      <c r="E259" s="241">
        <f ca="1">SUMIF(COA!$F$6:$I$173,C259,COA!$I$6:$I$173)</f>
        <v>0</v>
      </c>
      <c r="F259" s="241" t="e">
        <f>SUMIF(COA!$F$6:$I$173,C259,COA!#REF!)</f>
        <v>#REF!</v>
      </c>
      <c r="G259" s="203"/>
      <c r="H259" s="235"/>
      <c r="I259" s="236">
        <f>IFERROR(ABS(INDEX(TB_FS!D:D, MATCH(C259, TB_FS!B:B, 0))), "")</f>
        <v>0</v>
      </c>
      <c r="J259" s="236">
        <f>IFERROR(ABS(INDEX(TB_FS!E:E, MATCH(C259, TB_FS!B:B, 0))), "")</f>
        <v>0</v>
      </c>
      <c r="K259" s="236">
        <f>IFERROR(ABS(INDEX(TB_FS!F:F, MATCH(C259, TB_FS!B:B, 0))), "")</f>
        <v>0</v>
      </c>
      <c r="L259" s="236">
        <f>IFERROR(ABS(INDEX(TB_FS!G:G, MATCH(C259, TB_FS!B:B, 0))), "")</f>
        <v>0</v>
      </c>
      <c r="M259" s="236">
        <f>IFERROR(ABS(INDEX(TB_FS!H:H, MATCH(C259, TB_FS!B:B, 0))), "")</f>
        <v>0</v>
      </c>
      <c r="N259" s="236">
        <f>IFERROR(ABS(INDEX(TB_FS!I:I, MATCH(C259, TB_FS!B:B, 0))), "")</f>
        <v>0</v>
      </c>
    </row>
    <row r="260" spans="2:15" ht="17.45" customHeight="1">
      <c r="B260" s="236">
        <f>IF(R_FS[[#This Row],[CY]]+R_FS[[#This Row],[PY]]=0,0,1)</f>
        <v>1</v>
      </c>
      <c r="C260" t="s">
        <v>562</v>
      </c>
      <c r="D260" s="431" t="str">
        <f>(INDEX(TB_FS!C:C,MATCH(C260,TB_FS!B:B,0)))</f>
        <v>Canadian dividend income</v>
      </c>
      <c r="E260" s="241">
        <f ca="1">SUMIF(COA!$F$6:$I$173,C260,COA!$I$6:$I$173)</f>
        <v>0</v>
      </c>
      <c r="F260" s="241" t="e">
        <f>SUMIF(COA!$F$6:$I$173,C260,COA!#REF!)</f>
        <v>#REF!</v>
      </c>
      <c r="G260" s="203"/>
      <c r="H260" s="235"/>
      <c r="I260" s="236">
        <f>IFERROR(ABS(INDEX(TB_FS!D:D, MATCH(C260, TB_FS!B:B, 0))), "")</f>
        <v>422</v>
      </c>
      <c r="J260" s="236">
        <f>IFERROR(ABS(INDEX(TB_FS!E:E, MATCH(C260, TB_FS!B:B, 0))), "")</f>
        <v>0</v>
      </c>
      <c r="K260" s="236">
        <f>IFERROR(ABS(INDEX(TB_FS!F:F, MATCH(C260, TB_FS!B:B, 0))), "")</f>
        <v>0</v>
      </c>
      <c r="L260" s="236">
        <f>IFERROR(ABS(INDEX(TB_FS!G:G, MATCH(C260, TB_FS!B:B, 0))), "")</f>
        <v>0</v>
      </c>
      <c r="M260" s="236">
        <f>IFERROR(ABS(INDEX(TB_FS!H:H, MATCH(C260, TB_FS!B:B, 0))), "")</f>
        <v>0</v>
      </c>
      <c r="N260" s="236">
        <f>IFERROR(ABS(INDEX(TB_FS!I:I, MATCH(C260, TB_FS!B:B, 0))), "")</f>
        <v>0</v>
      </c>
    </row>
    <row r="261" spans="2:15" ht="15" hidden="1" customHeight="1">
      <c r="B261" s="236">
        <f>IF(R_FS[[#This Row],[CY]]+R_FS[[#This Row],[PY]]=0,0,1)</f>
        <v>0</v>
      </c>
      <c r="C261" t="s">
        <v>563</v>
      </c>
      <c r="D261" s="431" t="str">
        <f>(INDEX(TB_FS!C:C,MATCH(C261,TB_FS!B:B,0)))</f>
        <v>Foreign investment income</v>
      </c>
      <c r="E261" s="241">
        <f ca="1">SUMIF(COA!$F$6:$I$173,C261,COA!$I$6:$I$173)</f>
        <v>0</v>
      </c>
      <c r="F261" s="241" t="e">
        <f>SUMIF(COA!$F$6:$I$173,C261,COA!#REF!)</f>
        <v>#REF!</v>
      </c>
      <c r="G261" s="203"/>
      <c r="H261" s="235"/>
      <c r="I261" s="236">
        <f>IFERROR(ABS(INDEX(TB_FS!D:D, MATCH(C261, TB_FS!B:B, 0))), "")</f>
        <v>0</v>
      </c>
      <c r="J261" s="236">
        <f>IFERROR(ABS(INDEX(TB_FS!E:E, MATCH(C261, TB_FS!B:B, 0))), "")</f>
        <v>0</v>
      </c>
      <c r="K261" s="236">
        <f>IFERROR(ABS(INDEX(TB_FS!F:F, MATCH(C261, TB_FS!B:B, 0))), "")</f>
        <v>0</v>
      </c>
      <c r="L261" s="236">
        <f>IFERROR(ABS(INDEX(TB_FS!G:G, MATCH(C261, TB_FS!B:B, 0))), "")</f>
        <v>0</v>
      </c>
      <c r="M261" s="236">
        <f>IFERROR(ABS(INDEX(TB_FS!H:H, MATCH(C261, TB_FS!B:B, 0))), "")</f>
        <v>0</v>
      </c>
      <c r="N261" s="236">
        <f>IFERROR(ABS(INDEX(TB_FS!I:I, MATCH(C261, TB_FS!B:B, 0))), "")</f>
        <v>0</v>
      </c>
    </row>
    <row r="262" spans="2:15" ht="15" customHeight="1">
      <c r="B262" s="236">
        <f>IF(R_FS[[#This Row],[CY]]+R_FS[[#This Row],[PY]]=0,0,1)</f>
        <v>1</v>
      </c>
      <c r="C262" t="s">
        <v>564</v>
      </c>
      <c r="D262" s="431" t="str">
        <f>(INDEX(TB_FS!C:C,MATCH(C262,TB_FS!B:B,0)))</f>
        <v>Capital gains on disposition of shares</v>
      </c>
      <c r="E262" s="241">
        <f ca="1">SUMIF(COA!$F$6:$I$173,C262,COA!$I$6:$I$173)</f>
        <v>0</v>
      </c>
      <c r="F262" s="241" t="e">
        <f>SUMIF(COA!$F$6:$I$173,C262,COA!#REF!)</f>
        <v>#REF!</v>
      </c>
      <c r="G262" s="203"/>
      <c r="H262" s="235"/>
      <c r="I262" s="236">
        <f>IFERROR(ABS(INDEX(TB_FS!D:D, MATCH(C262, TB_FS!B:B, 0))), "")*-1</f>
        <v>-2405</v>
      </c>
      <c r="J262" s="236">
        <f>IFERROR(ABS(INDEX(TB_FS!E:E, MATCH(C262, TB_FS!B:B, 0))), "")</f>
        <v>0</v>
      </c>
      <c r="K262" s="236">
        <f>IFERROR(ABS(INDEX(TB_FS!F:F, MATCH(C262, TB_FS!B:B, 0))), "")</f>
        <v>0</v>
      </c>
      <c r="L262" s="236">
        <f>IFERROR(ABS(INDEX(TB_FS!G:G, MATCH(C262, TB_FS!B:B, 0))), "")</f>
        <v>0</v>
      </c>
      <c r="M262" s="236">
        <f>IFERROR(ABS(INDEX(TB_FS!H:H, MATCH(C262, TB_FS!B:B, 0))), "")</f>
        <v>0</v>
      </c>
      <c r="N262" s="236">
        <f>IFERROR(ABS(INDEX(TB_FS!I:I, MATCH(C262, TB_FS!B:B, 0))), "")</f>
        <v>0</v>
      </c>
    </row>
    <row r="263" spans="2:15" ht="15" customHeight="1">
      <c r="B263" s="236">
        <f>IF(R_FS[[#This Row],[CY]]+R_FS[[#This Row],[PY]]=0,0,1)</f>
        <v>1</v>
      </c>
      <c r="C263" t="s">
        <v>565</v>
      </c>
      <c r="D263" s="431" t="s">
        <v>672</v>
      </c>
      <c r="E263" s="241">
        <f ca="1">SUMIF(COA!$F$6:$I$173,C263,COA!$I$6:$I$173)</f>
        <v>0</v>
      </c>
      <c r="F263" s="241" t="e">
        <f>SUMIF(COA!$F$6:$I$173,C263,COA!#REF!)</f>
        <v>#REF!</v>
      </c>
      <c r="G263" s="203"/>
      <c r="H263" s="235"/>
      <c r="I263" s="511">
        <f>ABS(IF(I292&lt;0.01,I292,0))</f>
        <v>18615</v>
      </c>
      <c r="J263" s="511">
        <f t="shared" ref="J263:N263" si="59">ABS(IF(J292&lt;0.01,J292,0))</f>
        <v>0</v>
      </c>
      <c r="K263" s="511">
        <f t="shared" si="59"/>
        <v>0</v>
      </c>
      <c r="L263" s="511">
        <f t="shared" si="59"/>
        <v>0</v>
      </c>
      <c r="M263" s="511">
        <f t="shared" si="59"/>
        <v>0</v>
      </c>
      <c r="N263" s="511">
        <f t="shared" si="59"/>
        <v>0</v>
      </c>
    </row>
    <row r="264" spans="2:15" ht="15" customHeight="1">
      <c r="B264" s="236">
        <v>1</v>
      </c>
      <c r="C264" t="s">
        <v>565</v>
      </c>
      <c r="D264" s="431" t="s">
        <v>673</v>
      </c>
      <c r="E264" s="241">
        <f ca="1">SUMIF(COA!$F$6:$I$173,C264,COA!$I$6:$I$173)</f>
        <v>0</v>
      </c>
      <c r="F264" s="241" t="e">
        <f>SUMIF(COA!$F$6:$I$173,C264,COA!#REF!)</f>
        <v>#REF!</v>
      </c>
      <c r="G264" s="203"/>
      <c r="H264" s="235"/>
      <c r="I264" s="511">
        <f t="shared" ref="I264:K264" si="60">(IF(I292&gt;0.01,I292,0))*-1</f>
        <v>0</v>
      </c>
      <c r="J264" s="511">
        <f t="shared" si="60"/>
        <v>0</v>
      </c>
      <c r="K264" s="511">
        <f t="shared" si="60"/>
        <v>0</v>
      </c>
      <c r="L264" s="511">
        <f>(IF(L292&gt;0.01,L292,0))*-1</f>
        <v>0</v>
      </c>
      <c r="M264" s="511">
        <f t="shared" ref="M264:N264" si="61">(IF(M292&gt;0.01,M292,0))*-1</f>
        <v>0</v>
      </c>
      <c r="N264" s="511">
        <f t="shared" si="61"/>
        <v>0</v>
      </c>
    </row>
    <row r="265" spans="2:15" ht="17.45" hidden="1" customHeight="1">
      <c r="B265" s="236">
        <v>0</v>
      </c>
      <c r="C265"/>
      <c r="D265" s="431"/>
      <c r="E265" s="241"/>
      <c r="F265" s="241"/>
      <c r="G265" s="203" t="s">
        <v>0</v>
      </c>
      <c r="H265" s="235"/>
      <c r="I265" s="492">
        <f>SUBTOTAL(109,I259:I264)</f>
        <v>16632</v>
      </c>
      <c r="J265" s="492">
        <f>SUBTOTAL(109,J259:J264)</f>
        <v>0</v>
      </c>
      <c r="K265" s="492">
        <f t="shared" ref="K265:N265" si="62">SUBTOTAL(109,K259:K264)</f>
        <v>0</v>
      </c>
      <c r="L265" s="492">
        <f t="shared" si="62"/>
        <v>0</v>
      </c>
      <c r="M265" s="492">
        <f t="shared" si="62"/>
        <v>0</v>
      </c>
      <c r="N265" s="492">
        <f t="shared" si="62"/>
        <v>0</v>
      </c>
    </row>
    <row r="266" spans="2:15" ht="15" hidden="1" customHeight="1">
      <c r="B266" s="236">
        <f>IF(R_FS[[#This Row],[CY]]+R_FS[[#This Row],[PY]]=0,0,1)</f>
        <v>0</v>
      </c>
      <c r="C266" t="s">
        <v>566</v>
      </c>
      <c r="D266" s="431" t="str">
        <f>(INDEX(TB_FS!C:C,MATCH(C266,TB_FS!B:B,0)))</f>
        <v>Investment Management Fees</v>
      </c>
      <c r="E266" s="241">
        <f ca="1">SUMIF(COA!$F$6:$I$173,C266,COA!$I$6:$I$173)</f>
        <v>0</v>
      </c>
      <c r="F266" s="241" t="e">
        <f>SUMIF(COA!$F$6:$I$173,C266,COA!#REF!)</f>
        <v>#REF!</v>
      </c>
      <c r="G266" s="203"/>
      <c r="H266" s="235"/>
      <c r="I266" s="236">
        <f>IFERROR(ABS(INDEX(TB_FS!D:D, MATCH(C266, TB_FS!B:B, 0))), "")</f>
        <v>0</v>
      </c>
      <c r="J266" s="236">
        <f>IFERROR(ABS(INDEX(TB_FS!E:E, MATCH(D266, TB_FS!C:C, 0))), "")</f>
        <v>0</v>
      </c>
      <c r="K266" s="236">
        <f>IFERROR(ABS(INDEX(TB_FS!F:F, MATCH(C266, TB_FS!B:B, 0))), "")</f>
        <v>0</v>
      </c>
      <c r="L266" s="236">
        <f>IFERROR(ABS(INDEX(TB_FS!G:G, MATCH(C266, TB_FS!B:B, 0))), "")</f>
        <v>0</v>
      </c>
      <c r="M266" s="236">
        <f>IFERROR(ABS(INDEX(TB_FS!H:H, MATCH(C266, TB_FS!B:B, 0))), "")</f>
        <v>0</v>
      </c>
      <c r="N266" s="236">
        <f>IFERROR(ABS(INDEX(TB_FS!I:I, MATCH(C266, TB_FS!B:B, 0))), "")</f>
        <v>0</v>
      </c>
    </row>
    <row r="267" spans="2:15" ht="15" customHeight="1" thickBot="1">
      <c r="B267" s="236">
        <f>IF(R_FS[[#This Row],[CY]]+R_FS[[#This Row],[PY]]=0,0,1)</f>
        <v>1</v>
      </c>
      <c r="C267" s="289"/>
      <c r="D267" s="475"/>
      <c r="E267" s="463"/>
      <c r="F267" s="463"/>
      <c r="G267" s="464"/>
      <c r="H267" s="476"/>
      <c r="I267" s="505">
        <f>I265-I266</f>
        <v>16632</v>
      </c>
      <c r="J267" s="505">
        <f>J265-J266</f>
        <v>0</v>
      </c>
      <c r="K267" s="505">
        <f t="shared" ref="K267:N267" si="63">K265-K266</f>
        <v>0</v>
      </c>
      <c r="L267" s="505">
        <f t="shared" si="63"/>
        <v>0</v>
      </c>
      <c r="M267" s="505">
        <f t="shared" si="63"/>
        <v>0</v>
      </c>
      <c r="N267" s="505">
        <f t="shared" si="63"/>
        <v>0</v>
      </c>
    </row>
    <row r="268" spans="2:15" ht="15" customHeight="1" thickTop="1">
      <c r="B268" s="235"/>
      <c r="C268" s="288"/>
      <c r="D268" s="235"/>
      <c r="E268" s="235"/>
      <c r="F268" s="235"/>
      <c r="G268" s="246"/>
      <c r="H268" s="235"/>
      <c r="I268" s="234"/>
      <c r="J268" s="234"/>
      <c r="M268" s="196"/>
    </row>
    <row r="269" spans="2:15" ht="15" customHeight="1">
      <c r="B269" s="235"/>
      <c r="C269" s="288"/>
      <c r="D269" s="235"/>
      <c r="E269" s="235"/>
      <c r="F269" s="235"/>
      <c r="G269" s="246"/>
      <c r="H269" s="235"/>
      <c r="I269" s="234"/>
      <c r="J269" s="234"/>
      <c r="M269" s="196"/>
      <c r="O269" s="262" t="s">
        <v>0</v>
      </c>
    </row>
    <row r="271" spans="2:15" ht="17.45" customHeight="1">
      <c r="B271" s="262">
        <v>0</v>
      </c>
      <c r="D271" s="252" t="s">
        <v>0</v>
      </c>
      <c r="E271" s="243"/>
      <c r="F271" s="243"/>
      <c r="G271" s="243"/>
      <c r="H271" s="243"/>
      <c r="I271" s="493"/>
      <c r="M271" s="494" t="str">
        <f>UPPER(COA!$B$2)</f>
        <v>ANONYMOUS COMPANY</v>
      </c>
    </row>
    <row r="272" spans="2:15" ht="15" customHeight="1">
      <c r="D272" s="333" t="s">
        <v>0</v>
      </c>
      <c r="E272" s="267"/>
      <c r="F272" s="267"/>
      <c r="G272" s="267"/>
      <c r="I272" s="502"/>
      <c r="M272" s="509" t="s">
        <v>645</v>
      </c>
    </row>
    <row r="273" spans="3:14" ht="15" customHeight="1" thickBot="1">
      <c r="D273" s="448" t="s">
        <v>0</v>
      </c>
      <c r="E273" s="448"/>
      <c r="F273" s="448"/>
      <c r="G273" s="448"/>
      <c r="H273" s="448"/>
      <c r="I273" s="496"/>
      <c r="J273" s="496"/>
      <c r="K273" s="452"/>
      <c r="L273" s="452"/>
      <c r="M273" s="497" t="str">
        <f>"For the year ended "&amp;(TEXT(COA!$B$4,"MMMM DD, YYYY"))</f>
        <v>For the year ended December 31, 2025</v>
      </c>
    </row>
    <row r="274" spans="3:14" ht="17.45" customHeight="1" thickTop="1">
      <c r="D274" s="457"/>
      <c r="E274" s="238"/>
      <c r="F274" s="238"/>
      <c r="G274" s="334"/>
      <c r="H274" s="238"/>
      <c r="I274" s="445" t="str">
        <f>(COA!J6)</f>
        <v>CY</v>
      </c>
      <c r="J274" s="445" t="str">
        <f>(COA!K6)</f>
        <v>PY1</v>
      </c>
      <c r="K274" s="445" t="str">
        <f>(COA!L6)</f>
        <v>PY2</v>
      </c>
      <c r="L274" s="445" t="str">
        <f>(COA!M6)</f>
        <v>PY3</v>
      </c>
      <c r="M274" s="445" t="str">
        <f>(COA!N6)</f>
        <v>PY4</v>
      </c>
      <c r="N274" s="445" t="str">
        <f>(COA!O6)</f>
        <v>PY5</v>
      </c>
    </row>
    <row r="275" spans="3:14" ht="15" customHeight="1">
      <c r="D275" s="237"/>
      <c r="E275" s="237"/>
      <c r="F275" s="237"/>
      <c r="G275" s="297"/>
      <c r="H275" s="237"/>
      <c r="I275" s="358" t="s">
        <v>260</v>
      </c>
      <c r="J275" s="359" t="s">
        <v>260</v>
      </c>
      <c r="K275" s="358" t="s">
        <v>260</v>
      </c>
      <c r="L275" s="358" t="s">
        <v>260</v>
      </c>
      <c r="M275" s="358" t="s">
        <v>260</v>
      </c>
      <c r="N275" s="358" t="s">
        <v>260</v>
      </c>
    </row>
    <row r="276" spans="3:14" ht="15" customHeight="1">
      <c r="D276" s="235"/>
      <c r="E276" s="235"/>
      <c r="F276" s="235"/>
      <c r="G276" s="246"/>
      <c r="H276" s="235"/>
      <c r="I276" s="503" t="s">
        <v>0</v>
      </c>
      <c r="J276" s="503" t="s">
        <v>0</v>
      </c>
    </row>
    <row r="277" spans="3:14" ht="15" customHeight="1">
      <c r="D277" s="240"/>
      <c r="E277" s="240"/>
      <c r="F277" s="240"/>
      <c r="G277" s="298" t="s">
        <v>0</v>
      </c>
      <c r="H277" s="235"/>
      <c r="I277" s="234"/>
      <c r="J277" s="234"/>
    </row>
    <row r="278" spans="3:14" ht="15" customHeight="1">
      <c r="C278" s="507" t="s">
        <v>547</v>
      </c>
      <c r="D278" s="431" t="str">
        <f>(INDEX(TB_FS!C:C,MATCH(C278,TB_FS!B:B,0)))</f>
        <v>Cash</v>
      </c>
      <c r="E278" s="241">
        <f ca="1">SUMIF(COA!$F$6:$I$173,C278,COA!$I$6:$I$173)</f>
        <v>509493.210000002</v>
      </c>
      <c r="F278" s="241" t="e">
        <f>SUMIF(COA!$F$6:$I$173,C278,COA!#REF!)</f>
        <v>#REF!</v>
      </c>
      <c r="G278" s="203"/>
      <c r="H278" s="235"/>
      <c r="I278" s="236">
        <f>IFERROR(INDEX(TB_FS!D:D, MATCH(C278, TB_FS!B:B, 0)), 0)</f>
        <v>77184</v>
      </c>
      <c r="J278" s="236">
        <f>IFERROR(INDEX(TB_FS!E:E, MATCH(C278, TB_FS!B:B, 0)), 0)</f>
        <v>509493</v>
      </c>
      <c r="K278" s="236">
        <f>IFERROR(INDEX(TB_FS!F:F, MATCH(C278, TB_FS!B:B, 0)), 0)</f>
        <v>408632</v>
      </c>
      <c r="L278" s="236">
        <f>IFERROR(INDEX(TB_FS!G:G, MATCH(C278, TB_FS!B:B, 0)), 0)</f>
        <v>219150</v>
      </c>
      <c r="M278" s="236">
        <f>IFERROR(INDEX(TB_FS!H:H,MATCH(C278,TB_FS!B:B,0)),0)</f>
        <v>152840</v>
      </c>
      <c r="N278" s="236">
        <f>IFERROR(INDEX(TB_FS!I:I, MATCH(C278, TB_FS!B:B, 0)), 0)</f>
        <v>0</v>
      </c>
    </row>
    <row r="279" spans="3:14" ht="15" customHeight="1">
      <c r="C279" s="507"/>
      <c r="D279" s="431"/>
      <c r="E279" s="241"/>
      <c r="F279" s="241"/>
      <c r="G279" s="203"/>
      <c r="H279" s="235"/>
      <c r="I279" s="236"/>
      <c r="J279" s="236"/>
    </row>
    <row r="280" spans="3:14" ht="15" customHeight="1">
      <c r="C280" s="507" t="s">
        <v>502</v>
      </c>
      <c r="D280" s="431" t="str">
        <f>(INDEX(TB_FS!C:C,MATCH(C280,TB_FS!B:B,0)))</f>
        <v>Acct Rec - Shareholder</v>
      </c>
      <c r="E280" s="241">
        <f ca="1">SUMIF(COA!$F$6:$I$173,C280,COA!$I$6:$I$173)</f>
        <v>0</v>
      </c>
      <c r="F280" s="241" t="e">
        <f>SUMIF(COA!$F$6:$I$173,C280,COA!#REF!)</f>
        <v>#REF!</v>
      </c>
      <c r="G280" s="203"/>
      <c r="H280" s="235"/>
      <c r="I280" s="236">
        <f>IFERROR(INDEX(TB_FS!D:D, MATCH($C$280, TB_FS!$B:$B, 0)), 0)</f>
        <v>0</v>
      </c>
      <c r="J280" s="236">
        <f>IFERROR(INDEX(TB_FS!E:E, MATCH($C$280, TB_FS!$B:$B, 0)), 0)</f>
        <v>0</v>
      </c>
      <c r="K280" s="236">
        <f>IFERROR(INDEX(TB_FS!F:F, MATCH($C$280, TB_FS!$B:$B, 0)), 0)</f>
        <v>0</v>
      </c>
      <c r="L280" s="236">
        <f>IFERROR(INDEX(TB_FS!G:G, MATCH($C$280, TB_FS!$B:$B, 0)), 0)</f>
        <v>0</v>
      </c>
      <c r="M280" s="236">
        <f>IFERROR(INDEX(TB_FS!H:H, MATCH($C$280, TB_FS!$B:$B, 0)), 0)</f>
        <v>0</v>
      </c>
      <c r="N280" s="236">
        <f>IFERROR(INDEX(TB_FS!I:I, MATCH($C$280, TB_FS!$B:$B, 0)), 0)</f>
        <v>0</v>
      </c>
    </row>
    <row r="281" spans="3:14" ht="15" customHeight="1">
      <c r="C281" s="507" t="s">
        <v>550</v>
      </c>
      <c r="D281" s="431" t="str">
        <f>(INDEX(TB_FS!C:C,MATCH(C281,TB_FS!B:B,0)))</f>
        <v>Due to shareholder</v>
      </c>
      <c r="E281" s="241">
        <f ca="1">SUMIF(COA!$F$6:$I$173,C281,COA!$I$6:$I$173)</f>
        <v>-289462.549999999</v>
      </c>
      <c r="F281" s="241" t="e">
        <f>SUMIF(COA!$F$6:$I$173,C281,COA!#REF!)</f>
        <v>#REF!</v>
      </c>
      <c r="G281" s="203"/>
      <c r="H281" s="235"/>
      <c r="I281" s="236">
        <f>IFERROR(INDEX(TB_FS!D:D, MATCH($C$281, TB_FS!$B:$B, 0)), 0)</f>
        <v>-164955</v>
      </c>
      <c r="J281" s="236">
        <f>IFERROR(INDEX(TB_FS!E:E, MATCH($C$281, TB_FS!$B:$B, 0)), 0)</f>
        <v>-289463</v>
      </c>
      <c r="K281" s="236">
        <f>IFERROR(INDEX(TB_FS!F:F, MATCH($C$281, TB_FS!$B:$B, 0)), 0)</f>
        <v>-111270</v>
      </c>
      <c r="L281" s="236">
        <f>IFERROR(INDEX(TB_FS!G:G, MATCH($C$281, TB_FS!$B:$B, 0)), 0)</f>
        <v>67111</v>
      </c>
      <c r="M281" s="236">
        <f>IFERROR(INDEX(TB_FS!H:H, MATCH($C$281, TB_FS!$B:$B, 0)), 0)</f>
        <v>0</v>
      </c>
      <c r="N281" s="236">
        <f>IFERROR(INDEX(TB_FS!I:I, MATCH($C$281, TB_FS!$B:$B, 0)), 0)</f>
        <v>0</v>
      </c>
    </row>
    <row r="282" spans="3:14" ht="15" customHeight="1" thickBot="1">
      <c r="C282" s="507"/>
      <c r="D282" s="431"/>
      <c r="E282" s="241"/>
      <c r="F282" s="241"/>
      <c r="G282" s="203"/>
      <c r="H282" s="235"/>
      <c r="I282" s="508">
        <f>I281+I280</f>
        <v>-164955</v>
      </c>
      <c r="J282" s="508">
        <f>J281+J280</f>
        <v>-289463</v>
      </c>
      <c r="K282" s="508">
        <f t="shared" ref="K282:N282" si="64">K281+K280</f>
        <v>-111270</v>
      </c>
      <c r="L282" s="508">
        <f t="shared" si="64"/>
        <v>67111</v>
      </c>
      <c r="M282" s="508">
        <f t="shared" si="64"/>
        <v>0</v>
      </c>
      <c r="N282" s="508">
        <f t="shared" si="64"/>
        <v>0</v>
      </c>
    </row>
    <row r="283" spans="3:14" ht="15" customHeight="1" thickTop="1">
      <c r="C283" s="507"/>
      <c r="D283" s="431"/>
      <c r="E283" s="241"/>
      <c r="F283" s="241"/>
      <c r="G283" s="203"/>
      <c r="H283" s="235"/>
      <c r="I283" s="236"/>
      <c r="J283" s="236"/>
    </row>
    <row r="284" spans="3:14" ht="15" customHeight="1">
      <c r="C284" s="507" t="s">
        <v>635</v>
      </c>
      <c r="D284" s="431" t="str">
        <f>(INDEX(TB_FS!C:C,MATCH(C284,TB_FS!B:B,0)))</f>
        <v>HST payable</v>
      </c>
      <c r="E284" s="241">
        <f ca="1">SUMIF(COA!$F$6:$I$173,C284,COA!$I$6:$I$173)</f>
        <v>-32215.760000000002</v>
      </c>
      <c r="F284" s="241" t="e">
        <f>SUMIF(COA!$F$6:$I$173,C284,COA!#REF!)</f>
        <v>#REF!</v>
      </c>
      <c r="G284" s="203"/>
      <c r="H284" s="235"/>
      <c r="I284" s="236">
        <f>IFERROR(INDEX(TB_FS!D:D, MATCH($C$284, TB_FS!$B:$B, 0)), 0)</f>
        <v>-58772</v>
      </c>
      <c r="J284" s="236">
        <f>IFERROR(INDEX(TB_FS!E:E, MATCH($C$284, TB_FS!$B:$B, 0)), 0)</f>
        <v>-32216</v>
      </c>
      <c r="K284" s="236">
        <f>IFERROR(INDEX(TB_FS!F:F, MATCH($C$284, TB_FS!$B:$B, 0)), 0)</f>
        <v>5586</v>
      </c>
      <c r="L284" s="236">
        <f>IFERROR(INDEX(TB_FS!G:G, MATCH($C$284, TB_FS!$B:$B, 0)), 0)</f>
        <v>-38307</v>
      </c>
      <c r="M284" s="236">
        <f>IFERROR(INDEX(TB_FS!H:H, MATCH($C$284, TB_FS!$B:$B, 0)), 0)</f>
        <v>-2638</v>
      </c>
      <c r="N284" s="236">
        <f>IFERROR(INDEX(TB_FS!I:I, MATCH($C$284, TB_FS!$B:$B, 0)), 0)</f>
        <v>0</v>
      </c>
    </row>
    <row r="285" spans="3:14" ht="15" customHeight="1">
      <c r="C285" s="507"/>
      <c r="D285" s="431"/>
      <c r="E285" s="241"/>
      <c r="F285" s="241"/>
      <c r="G285" s="203"/>
      <c r="H285" s="235"/>
      <c r="I285" s="236"/>
      <c r="J285" s="236"/>
    </row>
    <row r="286" spans="3:14" ht="15" customHeight="1">
      <c r="C286" s="507" t="s">
        <v>555</v>
      </c>
      <c r="D286" s="431" t="str">
        <f>(INDEX(TB_FS!C:C,MATCH(C286,TB_FS!B:B,0)))</f>
        <v>Corporate Income Tax</v>
      </c>
      <c r="E286" s="241">
        <f ca="1">SUMIF(COA!$F$6:$I$173,C286,COA!$I$6:$I$173)</f>
        <v>-23061.100000000199</v>
      </c>
      <c r="F286" s="241" t="e">
        <f>SUMIF(COA!$F$6:$I$173,C286,COA!#REF!)</f>
        <v>#REF!</v>
      </c>
      <c r="G286" s="203"/>
      <c r="H286" s="235"/>
      <c r="I286" s="236">
        <f>IFERROR(INDEX(TB_FS!D:D, MATCH($C$286, TB_FS!$B:$B, 0)), 0)</f>
        <v>-4180</v>
      </c>
      <c r="J286" s="236">
        <f>IFERROR(INDEX(TB_FS!E:E, MATCH($C$286, TB_FS!$B:$B, 0)), 0)</f>
        <v>-23061</v>
      </c>
      <c r="K286" s="236">
        <f>IFERROR(INDEX(TB_FS!F:F, MATCH($C$286, TB_FS!$B:$B, 0)), 0)</f>
        <v>18955</v>
      </c>
      <c r="L286" s="236">
        <f>IFERROR(INDEX(TB_FS!G:G, MATCH($C$286, TB_FS!$B:$B, 0)), 0)</f>
        <v>-60315</v>
      </c>
      <c r="M286" s="236">
        <f>IFERROR(INDEX(TB_FS!H:H, MATCH($C$286, TB_FS!$B:$B, 0)), 0)</f>
        <v>-5245</v>
      </c>
      <c r="N286" s="236">
        <f>IFERROR(INDEX(TB_FS!I:I, MATCH($C$286, TB_FS!$B:$B, 0)), 0)</f>
        <v>0</v>
      </c>
    </row>
    <row r="287" spans="3:14" ht="15" customHeight="1">
      <c r="C287" s="507"/>
      <c r="D287" s="431"/>
      <c r="E287" s="241"/>
      <c r="F287" s="241"/>
      <c r="G287" s="203"/>
      <c r="H287" s="235"/>
      <c r="I287" s="236"/>
      <c r="J287" s="236"/>
    </row>
    <row r="288" spans="3:14" ht="15" customHeight="1">
      <c r="C288" s="507" t="s">
        <v>556</v>
      </c>
      <c r="D288" s="431" t="str">
        <f>(INDEX(TB_FS!C:C,MATCH(C288,TB_FS!B:B,0)))</f>
        <v>Related parties Current</v>
      </c>
      <c r="E288" s="241">
        <f ca="1">SUMIF(COA!$F$6:$I$173,C288,COA!$I$6:$I$173)</f>
        <v>95143.960000001098</v>
      </c>
      <c r="F288" s="241" t="e">
        <f>SUMIF(COA!$F$6:$I$173,C288,COA!#REF!)</f>
        <v>#REF!</v>
      </c>
      <c r="G288" s="203"/>
      <c r="H288" s="235"/>
      <c r="I288" s="236">
        <f>IFERROR(INDEX(TB_FS!D:D, MATCH($C$288, TB_FS!$B:$B, 0)), 0)</f>
        <v>318967</v>
      </c>
      <c r="J288" s="236">
        <f>IFERROR(INDEX(TB_FS!E:E, MATCH($C$288, TB_FS!$B:$B, 0)), 0)</f>
        <v>95144</v>
      </c>
      <c r="K288" s="236">
        <f>IFERROR(INDEX(TB_FS!F:F, MATCH($C$288, TB_FS!$B:$B, 0)), 0)</f>
        <v>-173116</v>
      </c>
      <c r="L288" s="236">
        <f>IFERROR(INDEX(TB_FS!G:G, MATCH($C$288, TB_FS!$B:$B, 0)), 0)</f>
        <v>-316131</v>
      </c>
      <c r="M288" s="236">
        <f>IFERROR(INDEX(TB_FS!H:H, MATCH($C$288, TB_FS!$B:$B, 0)), 0)</f>
        <v>-606585</v>
      </c>
      <c r="N288" s="236">
        <f>IFERROR(INDEX(TB_FS!I:I, MATCH($C$288, TB_FS!$B:$B, 0)), 0)</f>
        <v>0</v>
      </c>
    </row>
    <row r="289" spans="3:14" ht="15" customHeight="1">
      <c r="C289" s="507"/>
      <c r="D289" s="431"/>
      <c r="E289" s="241"/>
      <c r="F289" s="241"/>
      <c r="G289" s="203"/>
      <c r="H289" s="235"/>
      <c r="I289" s="236"/>
      <c r="J289" s="236"/>
    </row>
    <row r="290" spans="3:14" ht="17.45" customHeight="1">
      <c r="C290" s="507" t="s">
        <v>527</v>
      </c>
      <c r="D290" s="431" t="str">
        <f>(INDEX(TB_FS!C:C,MATCH(C290,TB_FS!B:B,0)))</f>
        <v>ABC Company</v>
      </c>
      <c r="E290" s="241">
        <f ca="1">SUMIF(COA!$F$6:$I$173,C290,COA!$I$6:$I$173)</f>
        <v>-63165.899999999499</v>
      </c>
      <c r="F290" s="241" t="e">
        <f>SUMIF(COA!$F$6:$I$173,C290,COA!#REF!)</f>
        <v>#REF!</v>
      </c>
      <c r="G290" s="203"/>
      <c r="H290" s="235"/>
      <c r="I290" s="236">
        <f>IFERROR(INDEX(TB_FS!D:D, MATCH($C$290, TB_FS!$B:$B, 0)), 0)</f>
        <v>0</v>
      </c>
      <c r="J290" s="236">
        <f>IFERROR(INDEX(TB_FS!E:E, MATCH($C$290, TB_FS!$B:$B, 0)), 0)</f>
        <v>-63166</v>
      </c>
      <c r="K290" s="236">
        <f>IFERROR(INDEX(TB_FS!F:F, MATCH($C$290, TB_FS!$B:$B, 0)), 0)</f>
        <v>0</v>
      </c>
      <c r="L290" s="236">
        <f>IFERROR(INDEX(TB_FS!G:G, MATCH($C$290, TB_FS!$B:$B, 0)), 0)</f>
        <v>0</v>
      </c>
      <c r="M290" s="236">
        <f>IFERROR(INDEX(TB_FS!H:H, MATCH($C$290, TB_FS!$B:$B, 0)), 0)</f>
        <v>0</v>
      </c>
      <c r="N290" s="236">
        <f>IFERROR(INDEX(TB_FS!I:I, MATCH($C$290, TB_FS!$B:$B, 0)), 0)</f>
        <v>0</v>
      </c>
    </row>
    <row r="291" spans="3:14" ht="17.45" customHeight="1">
      <c r="D291" s="465" t="s">
        <v>0</v>
      </c>
      <c r="E291" s="235"/>
      <c r="F291" s="235"/>
      <c r="G291" s="246"/>
      <c r="H291" s="235"/>
      <c r="I291" s="234"/>
      <c r="J291" s="234"/>
    </row>
    <row r="292" spans="3:14" ht="17.45" customHeight="1">
      <c r="C292" s="507" t="s">
        <v>565</v>
      </c>
      <c r="D292" s="431" t="str">
        <f>(INDEX(TB_FS!C:C,MATCH(C292,TB_FS!B:B,0)))</f>
        <v>Unrealized gain/loss on securities</v>
      </c>
      <c r="E292" s="241">
        <f ca="1">SUMIF(COA!$F$6:$I$173,C292,COA!$I$6:$I$173)</f>
        <v>0</v>
      </c>
      <c r="F292" s="241" t="e">
        <f>SUMIF(COA!$F$6:$I$173,C292,COA!#REF!)</f>
        <v>#REF!</v>
      </c>
      <c r="G292" s="203"/>
      <c r="H292" s="235"/>
      <c r="I292" s="236">
        <f>IFERROR(INDEX(TB_FS!D:D, MATCH($C$292, TB_FS!$B:$B, 0)), 0)</f>
        <v>-18615</v>
      </c>
      <c r="J292" s="236">
        <f>IFERROR(INDEX(TB_FS!E:E, MATCH($C$292, TB_FS!$B:$B, 0)), 0)</f>
        <v>0</v>
      </c>
      <c r="K292" s="236">
        <f>IFERROR(INDEX(TB_FS!F:F, MATCH($C$292, TB_FS!$B:$B, 0)), 0)</f>
        <v>0</v>
      </c>
      <c r="L292" s="236">
        <f>IFERROR(INDEX(TB_FS!G:G, MATCH($C$292, TB_FS!$B:$B, 0)), 0)</f>
        <v>0</v>
      </c>
      <c r="M292" s="236">
        <f>IFERROR(INDEX(TB_FS!H:H, MATCH($C$292, TB_FS!$B:$B, 0)), 0)</f>
        <v>0</v>
      </c>
      <c r="N292" s="236">
        <f>IFERROR(INDEX(TB_FS!I:I, MATCH($C$292, TB_FS!$B:$B, 0)), 0)</f>
        <v>0</v>
      </c>
    </row>
    <row r="293" spans="3:14" ht="17.45" customHeight="1"/>
    <row r="294" spans="3:14" ht="17.45" customHeight="1"/>
    <row r="332" spans="1:1" ht="15" customHeight="1">
      <c r="A332" s="262" t="s">
        <v>0</v>
      </c>
    </row>
  </sheetData>
  <mergeCells count="1">
    <mergeCell ref="D2:I2"/>
  </mergeCells>
  <phoneticPr fontId="11" type="noConversion"/>
  <dataValidations count="1">
    <dataValidation type="list" allowBlank="1" showInputMessage="1" showErrorMessage="1" sqref="B189:B192 C248 C188:C193" xr:uid="{E58B221D-49EE-4E78-B1C5-2D148A2D067C}">
      <formula1>"coa!b7:b100"</formula1>
    </dataValidation>
  </dataValidations>
  <hyperlinks>
    <hyperlink ref="A1" location="'TABLE OF CONTENTS'!A1" display="INDEX" xr:uid="{6B38E414-FC63-4D47-B571-32A56BE34AF5}"/>
  </hyperlinks>
  <pageMargins left="1.5748031496062993" right="0.98425196850393704" top="0.59055118110236227" bottom="0.19685039370078741" header="0.11811023622047245" footer="0.31496062992125984"/>
  <pageSetup scale="88" fitToHeight="0" orientation="landscape" r:id="rId1"/>
  <rowBreaks count="8" manualBreakCount="8">
    <brk id="9" min="3" max="12" man="1"/>
    <brk id="23" min="3" max="12" man="1"/>
    <brk id="66" min="3" max="12" man="1"/>
    <brk id="115" min="3" max="12" man="1"/>
    <brk id="136" min="3" max="12" man="1"/>
    <brk id="182" min="3" max="12" man="1"/>
    <brk id="231" min="3" max="12" man="1"/>
    <brk id="250" min="3" max="12" man="1"/>
  </rowBreaks>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A2125-38DE-406B-BE1D-FBF6987094EB}">
  <sheetPr codeName="Sheet28">
    <tabColor theme="5" tint="0.59999389629810485"/>
    <outlinePr summaryBelow="0" summaryRight="0"/>
  </sheetPr>
  <dimension ref="A1:L932"/>
  <sheetViews>
    <sheetView zoomScaleNormal="100" workbookViewId="0"/>
  </sheetViews>
  <sheetFormatPr defaultColWidth="12.5703125" defaultRowHeight="15" customHeight="1"/>
  <cols>
    <col min="1" max="9" width="12.5703125" style="520"/>
    <col min="10" max="10" width="12.5703125" style="520" customWidth="1"/>
    <col min="11" max="11" width="0.140625" style="520" customWidth="1"/>
    <col min="12" max="16384" width="12.5703125" style="520"/>
  </cols>
  <sheetData>
    <row r="1" spans="1:12" ht="15" customHeight="1">
      <c r="A1" s="59" t="s">
        <v>1650</v>
      </c>
      <c r="B1" s="196"/>
      <c r="C1" s="196" t="s">
        <v>1540</v>
      </c>
      <c r="D1" s="518"/>
      <c r="E1" s="518"/>
      <c r="F1" s="518"/>
      <c r="G1" s="519"/>
      <c r="H1" s="519"/>
      <c r="I1" s="519"/>
      <c r="J1" s="519"/>
      <c r="K1" s="519"/>
      <c r="L1" s="290" t="s">
        <v>1064</v>
      </c>
    </row>
    <row r="2" spans="1:12" ht="15" customHeight="1">
      <c r="B2" s="1288" t="str">
        <f>UPPER(COA!B2)</f>
        <v>ANONYMOUS COMPANY</v>
      </c>
      <c r="C2" s="1288"/>
      <c r="D2" s="1288"/>
      <c r="E2" s="1288"/>
      <c r="F2" s="1288"/>
      <c r="G2" s="1288"/>
      <c r="H2" s="1288"/>
      <c r="I2" s="1288"/>
      <c r="J2" s="1288"/>
      <c r="K2" s="1288"/>
      <c r="L2" s="519"/>
    </row>
    <row r="3" spans="1:12" ht="15" customHeight="1">
      <c r="B3" s="1289" t="str">
        <f>"FOR THE YEAR ENDED "&amp;UPPER(TEXT(COA!$B$4,"MMMM DD, YYYY"))</f>
        <v>FOR THE YEAR ENDED DECEMBER 31, 2025</v>
      </c>
      <c r="C3" s="1289"/>
      <c r="D3" s="1289"/>
      <c r="E3" s="1289"/>
      <c r="F3" s="1289"/>
      <c r="G3" s="1289"/>
      <c r="H3" s="1289"/>
      <c r="I3" s="1289"/>
      <c r="J3" s="1289"/>
      <c r="K3" s="1289"/>
      <c r="L3" s="519"/>
    </row>
    <row r="4" spans="1:12" ht="15" customHeight="1">
      <c r="B4" s="1290" t="s">
        <v>1487</v>
      </c>
      <c r="C4" s="1290"/>
      <c r="D4" s="1290"/>
      <c r="E4" s="1290"/>
      <c r="F4" s="1290"/>
      <c r="G4" s="1290"/>
      <c r="H4" s="1290"/>
      <c r="I4" s="1290"/>
      <c r="J4" s="1290"/>
      <c r="K4" s="1290"/>
      <c r="L4" s="519"/>
    </row>
    <row r="5" spans="1:12" ht="15" customHeight="1" thickBot="1">
      <c r="B5" s="228"/>
      <c r="C5" s="521"/>
      <c r="D5" s="521"/>
      <c r="E5" s="521"/>
      <c r="F5" s="521"/>
      <c r="G5" s="522"/>
      <c r="H5" s="228"/>
      <c r="I5" s="522"/>
      <c r="J5" s="522"/>
      <c r="K5" s="522"/>
      <c r="L5" s="519"/>
    </row>
    <row r="6" spans="1:12" ht="31.5" customHeight="1" thickBot="1">
      <c r="B6" s="1291" t="s">
        <v>1488</v>
      </c>
      <c r="C6" s="1291"/>
      <c r="D6" s="1291"/>
      <c r="E6" s="1291"/>
      <c r="F6" s="1291"/>
      <c r="G6" s="1291"/>
      <c r="H6" s="1291"/>
      <c r="I6" s="1291"/>
      <c r="J6" s="1291"/>
      <c r="K6" s="1291"/>
      <c r="L6" s="519"/>
    </row>
    <row r="7" spans="1:12" ht="15" customHeight="1">
      <c r="B7" s="519" t="s">
        <v>0</v>
      </c>
      <c r="C7" s="519"/>
      <c r="D7" s="519"/>
      <c r="E7" s="519"/>
      <c r="F7" s="519"/>
      <c r="G7" s="519"/>
      <c r="H7" s="519"/>
      <c r="I7" s="519"/>
      <c r="J7" s="519"/>
      <c r="K7" s="519"/>
      <c r="L7" s="519"/>
    </row>
    <row r="8" spans="1:12" ht="15" customHeight="1">
      <c r="B8" s="764" t="s">
        <v>1537</v>
      </c>
      <c r="C8" s="523"/>
    </row>
    <row r="9" spans="1:12" ht="70.5" customHeight="1">
      <c r="B9" s="1292" t="s">
        <v>1536</v>
      </c>
      <c r="C9" s="1292"/>
      <c r="D9" s="1292"/>
      <c r="E9" s="1292"/>
      <c r="F9" s="1292"/>
      <c r="G9" s="1292"/>
      <c r="H9" s="1292"/>
      <c r="I9" s="1292"/>
      <c r="J9" s="1292"/>
      <c r="K9" s="1292"/>
    </row>
    <row r="10" spans="1:12" ht="15" customHeight="1">
      <c r="C10" s="523"/>
    </row>
    <row r="11" spans="1:12" ht="15" customHeight="1">
      <c r="B11"/>
      <c r="C11" s="523"/>
    </row>
    <row r="12" spans="1:12" ht="15" customHeight="1">
      <c r="B12"/>
      <c r="C12" s="523"/>
    </row>
    <row r="13" spans="1:12" ht="15" customHeight="1">
      <c r="B13" s="764" t="s">
        <v>1489</v>
      </c>
      <c r="C13" s="523"/>
    </row>
    <row r="14" spans="1:12" ht="15" customHeight="1">
      <c r="B14"/>
      <c r="C14" s="523"/>
    </row>
    <row r="15" spans="1:12" ht="81" customHeight="1">
      <c r="B15" s="1292" t="s">
        <v>1490</v>
      </c>
      <c r="C15" s="1292"/>
      <c r="D15" s="1292"/>
      <c r="E15" s="1292"/>
      <c r="F15" s="1292"/>
      <c r="G15" s="1292"/>
      <c r="H15" s="1292"/>
      <c r="I15" s="1292"/>
      <c r="J15" s="1292"/>
      <c r="K15" s="1292"/>
    </row>
    <row r="16" spans="1:12" ht="15" customHeight="1">
      <c r="B16"/>
      <c r="C16" s="523"/>
    </row>
    <row r="17" spans="2:3" ht="15" customHeight="1">
      <c r="B17"/>
      <c r="C17" s="523"/>
    </row>
    <row r="18" spans="2:3" ht="15" customHeight="1">
      <c r="B18"/>
      <c r="C18" s="523"/>
    </row>
    <row r="19" spans="2:3" ht="15" customHeight="1">
      <c r="B19" s="764" t="s">
        <v>1491</v>
      </c>
      <c r="C19" s="523"/>
    </row>
    <row r="20" spans="2:3" ht="15" customHeight="1">
      <c r="B20"/>
      <c r="C20" s="523"/>
    </row>
    <row r="21" spans="2:3" ht="15" customHeight="1">
      <c r="B21" s="765" t="s">
        <v>1492</v>
      </c>
      <c r="C21" s="523"/>
    </row>
    <row r="22" spans="2:3" ht="15" customHeight="1">
      <c r="B22" s="766"/>
      <c r="C22" s="523"/>
    </row>
    <row r="23" spans="2:3" ht="15" customHeight="1">
      <c r="B23" s="767" t="s">
        <v>1493</v>
      </c>
      <c r="C23" s="523"/>
    </row>
    <row r="24" spans="2:3" ht="15" customHeight="1">
      <c r="B24" s="768" t="s">
        <v>1494</v>
      </c>
      <c r="C24" s="523"/>
    </row>
    <row r="25" spans="2:3" ht="15" customHeight="1">
      <c r="B25" s="767" t="s">
        <v>1495</v>
      </c>
      <c r="C25" s="523"/>
    </row>
    <row r="26" spans="2:3" ht="15" customHeight="1">
      <c r="B26" s="768" t="s">
        <v>1496</v>
      </c>
      <c r="C26" s="523"/>
    </row>
    <row r="27" spans="2:3" ht="15" customHeight="1">
      <c r="B27" s="768" t="s">
        <v>1497</v>
      </c>
      <c r="C27" s="523"/>
    </row>
    <row r="28" spans="2:3" ht="15" customHeight="1">
      <c r="B28" s="768" t="s">
        <v>1498</v>
      </c>
      <c r="C28" s="523"/>
    </row>
    <row r="29" spans="2:3" ht="15" customHeight="1">
      <c r="B29" s="768" t="s">
        <v>1499</v>
      </c>
      <c r="C29" s="523"/>
    </row>
    <row r="30" spans="2:3" ht="15" customHeight="1">
      <c r="B30"/>
      <c r="C30" s="523"/>
    </row>
    <row r="31" spans="2:3" ht="15" customHeight="1">
      <c r="B31"/>
      <c r="C31" s="523"/>
    </row>
    <row r="32" spans="2:3" ht="15" customHeight="1">
      <c r="B32" s="765" t="s">
        <v>1500</v>
      </c>
      <c r="C32" s="523"/>
    </row>
    <row r="33" spans="2:3" ht="15" customHeight="1">
      <c r="B33" s="766"/>
      <c r="C33" s="523"/>
    </row>
    <row r="34" spans="2:3" ht="15" customHeight="1">
      <c r="B34" s="767" t="s">
        <v>1501</v>
      </c>
      <c r="C34" s="523"/>
    </row>
    <row r="35" spans="2:3" ht="15" customHeight="1">
      <c r="B35" s="768" t="s">
        <v>1502</v>
      </c>
      <c r="C35" s="523"/>
    </row>
    <row r="36" spans="2:3" ht="15" customHeight="1">
      <c r="B36" s="767" t="s">
        <v>1503</v>
      </c>
      <c r="C36" s="523"/>
    </row>
    <row r="37" spans="2:3" ht="15" customHeight="1">
      <c r="B37" s="768" t="s">
        <v>1504</v>
      </c>
      <c r="C37" s="523"/>
    </row>
    <row r="38" spans="2:3" ht="15" customHeight="1">
      <c r="B38" s="768" t="s">
        <v>1505</v>
      </c>
      <c r="C38" s="523"/>
    </row>
    <row r="39" spans="2:3" ht="15" customHeight="1">
      <c r="B39" s="768" t="s">
        <v>1506</v>
      </c>
      <c r="C39" s="523"/>
    </row>
    <row r="40" spans="2:3" ht="15" customHeight="1">
      <c r="B40"/>
      <c r="C40" s="523"/>
    </row>
    <row r="41" spans="2:3" ht="15" customHeight="1">
      <c r="B41" s="765" t="s">
        <v>1507</v>
      </c>
      <c r="C41" s="523"/>
    </row>
    <row r="42" spans="2:3" ht="15" customHeight="1">
      <c r="B42" s="766"/>
      <c r="C42" s="523"/>
    </row>
    <row r="43" spans="2:3" ht="15" customHeight="1">
      <c r="B43" s="767" t="s">
        <v>1508</v>
      </c>
      <c r="C43" s="523"/>
    </row>
    <row r="44" spans="2:3" ht="15" customHeight="1">
      <c r="B44" s="769" t="s">
        <v>1509</v>
      </c>
      <c r="C44" s="523"/>
    </row>
    <row r="45" spans="2:3" ht="15" customHeight="1">
      <c r="B45" s="769" t="s">
        <v>1510</v>
      </c>
      <c r="C45" s="523"/>
    </row>
    <row r="46" spans="2:3" ht="15" customHeight="1">
      <c r="B46" s="769" t="s">
        <v>1511</v>
      </c>
      <c r="C46" s="523"/>
    </row>
    <row r="47" spans="2:3" ht="15" customHeight="1">
      <c r="B47" s="767" t="s">
        <v>1512</v>
      </c>
      <c r="C47" s="523"/>
    </row>
    <row r="48" spans="2:3" ht="15" customHeight="1">
      <c r="B48"/>
      <c r="C48" s="523"/>
    </row>
    <row r="49" spans="2:3" ht="15" customHeight="1">
      <c r="B49" s="765" t="s">
        <v>1513</v>
      </c>
      <c r="C49" s="523"/>
    </row>
    <row r="50" spans="2:3" ht="15" customHeight="1">
      <c r="B50" s="766"/>
      <c r="C50" s="523"/>
    </row>
    <row r="51" spans="2:3" ht="15" customHeight="1">
      <c r="B51" s="767" t="s">
        <v>1514</v>
      </c>
      <c r="C51" s="523"/>
    </row>
    <row r="52" spans="2:3" ht="15" customHeight="1">
      <c r="B52" s="767" t="s">
        <v>1515</v>
      </c>
      <c r="C52" s="523"/>
    </row>
    <row r="53" spans="2:3" ht="15" customHeight="1">
      <c r="B53" s="768" t="s">
        <v>1516</v>
      </c>
      <c r="C53" s="523"/>
    </row>
    <row r="54" spans="2:3" ht="15" customHeight="1">
      <c r="B54" s="767" t="s">
        <v>1517</v>
      </c>
      <c r="C54" s="523"/>
    </row>
    <row r="55" spans="2:3" ht="15" customHeight="1">
      <c r="B55"/>
      <c r="C55" s="523"/>
    </row>
    <row r="56" spans="2:3" ht="15" customHeight="1">
      <c r="B56" s="765" t="s">
        <v>1518</v>
      </c>
      <c r="C56" s="523"/>
    </row>
    <row r="57" spans="2:3" ht="15" customHeight="1">
      <c r="B57" s="766"/>
      <c r="C57" s="523"/>
    </row>
    <row r="58" spans="2:3" ht="15" customHeight="1">
      <c r="B58" s="767" t="s">
        <v>1519</v>
      </c>
      <c r="C58" s="523"/>
    </row>
    <row r="59" spans="2:3" ht="15" customHeight="1">
      <c r="B59" s="768" t="s">
        <v>1520</v>
      </c>
      <c r="C59" s="523"/>
    </row>
    <row r="60" spans="2:3" ht="15" customHeight="1">
      <c r="B60" s="767" t="s">
        <v>1521</v>
      </c>
      <c r="C60" s="523"/>
    </row>
    <row r="61" spans="2:3" ht="15" customHeight="1">
      <c r="B61" s="767" t="s">
        <v>1522</v>
      </c>
      <c r="C61" s="523"/>
    </row>
    <row r="62" spans="2:3" ht="15" customHeight="1">
      <c r="B62" s="767"/>
      <c r="C62" s="523"/>
    </row>
    <row r="63" spans="2:3" ht="15" customHeight="1">
      <c r="B63" s="767"/>
      <c r="C63" s="523"/>
    </row>
    <row r="64" spans="2:3" ht="15" customHeight="1">
      <c r="B64"/>
      <c r="C64" s="523"/>
    </row>
    <row r="65" spans="2:3" ht="15" customHeight="1">
      <c r="B65" s="765" t="s">
        <v>1523</v>
      </c>
      <c r="C65" s="523"/>
    </row>
    <row r="66" spans="2:3" ht="15" customHeight="1">
      <c r="B66" s="766"/>
      <c r="C66" s="523"/>
    </row>
    <row r="67" spans="2:3" ht="15" customHeight="1">
      <c r="B67" s="767" t="s">
        <v>1524</v>
      </c>
      <c r="C67" s="523"/>
    </row>
    <row r="68" spans="2:3" ht="15" customHeight="1">
      <c r="B68" s="768" t="s">
        <v>1525</v>
      </c>
      <c r="C68" s="523"/>
    </row>
    <row r="69" spans="2:3" ht="15" customHeight="1">
      <c r="B69" s="767" t="s">
        <v>1526</v>
      </c>
      <c r="C69" s="523"/>
    </row>
    <row r="70" spans="2:3" ht="15" customHeight="1">
      <c r="B70"/>
      <c r="C70" s="523"/>
    </row>
    <row r="71" spans="2:3" ht="15" customHeight="1">
      <c r="B71" s="765" t="s">
        <v>1527</v>
      </c>
      <c r="C71" s="523"/>
    </row>
    <row r="72" spans="2:3" ht="15" customHeight="1">
      <c r="B72" s="766"/>
      <c r="C72" s="523"/>
    </row>
    <row r="73" spans="2:3" ht="15" customHeight="1">
      <c r="B73" s="767" t="s">
        <v>1528</v>
      </c>
      <c r="C73" s="523"/>
    </row>
    <row r="74" spans="2:3" ht="15" customHeight="1">
      <c r="B74" s="767" t="s">
        <v>1529</v>
      </c>
      <c r="C74" s="523"/>
    </row>
    <row r="75" spans="2:3" ht="15" customHeight="1">
      <c r="B75"/>
      <c r="C75" s="523"/>
    </row>
    <row r="76" spans="2:3" ht="15" customHeight="1">
      <c r="B76"/>
      <c r="C76" s="523"/>
    </row>
    <row r="77" spans="2:3" ht="15" customHeight="1">
      <c r="B77"/>
      <c r="C77" s="523"/>
    </row>
    <row r="78" spans="2:3" ht="15" customHeight="1">
      <c r="B78" s="764" t="s">
        <v>1530</v>
      </c>
      <c r="C78" s="523"/>
    </row>
    <row r="79" spans="2:3" ht="15" customHeight="1">
      <c r="B79" s="766"/>
      <c r="C79" s="523"/>
    </row>
    <row r="80" spans="2:3" ht="15" customHeight="1">
      <c r="B80" s="767" t="s">
        <v>1531</v>
      </c>
      <c r="C80" s="523"/>
    </row>
    <row r="81" spans="2:3" ht="15" customHeight="1">
      <c r="B81" s="767" t="s">
        <v>1532</v>
      </c>
      <c r="C81" s="523"/>
    </row>
    <row r="82" spans="2:3" ht="15" customHeight="1">
      <c r="B82" s="767" t="s">
        <v>1533</v>
      </c>
      <c r="C82" s="523"/>
    </row>
    <row r="83" spans="2:3" ht="15" customHeight="1">
      <c r="B83" s="767" t="s">
        <v>1534</v>
      </c>
      <c r="C83" s="523"/>
    </row>
    <row r="84" spans="2:3" ht="15" customHeight="1">
      <c r="B84" s="767" t="s">
        <v>1535</v>
      </c>
      <c r="C84" s="523"/>
    </row>
    <row r="85" spans="2:3" ht="15" customHeight="1">
      <c r="B85"/>
      <c r="C85" s="523"/>
    </row>
    <row r="86" spans="2:3" ht="15" customHeight="1">
      <c r="B86"/>
      <c r="C86" s="523"/>
    </row>
    <row r="87" spans="2:3" ht="15" customHeight="1">
      <c r="B87"/>
      <c r="C87" s="523"/>
    </row>
    <row r="88" spans="2:3" ht="15" customHeight="1">
      <c r="C88" s="523"/>
    </row>
    <row r="89" spans="2:3" ht="15" customHeight="1">
      <c r="C89" s="523"/>
    </row>
    <row r="90" spans="2:3" ht="15" customHeight="1">
      <c r="C90" s="523"/>
    </row>
    <row r="91" spans="2:3" ht="15" customHeight="1">
      <c r="C91" s="523"/>
    </row>
    <row r="92" spans="2:3" ht="15" customHeight="1">
      <c r="C92" s="523"/>
    </row>
    <row r="93" spans="2:3" ht="15" customHeight="1">
      <c r="C93" s="523"/>
    </row>
    <row r="94" spans="2:3" ht="15" customHeight="1">
      <c r="C94" s="523"/>
    </row>
    <row r="95" spans="2:3" ht="15" customHeight="1">
      <c r="C95" s="523"/>
    </row>
    <row r="96" spans="2:3" ht="15" customHeight="1">
      <c r="C96" s="523"/>
    </row>
    <row r="97" spans="3:3" ht="15" customHeight="1">
      <c r="C97" s="523"/>
    </row>
    <row r="98" spans="3:3" ht="15" customHeight="1">
      <c r="C98" s="523"/>
    </row>
    <row r="99" spans="3:3" ht="15" customHeight="1">
      <c r="C99" s="523"/>
    </row>
    <row r="100" spans="3:3" ht="15" customHeight="1">
      <c r="C100" s="523"/>
    </row>
    <row r="101" spans="3:3" ht="15" customHeight="1">
      <c r="C101" s="523"/>
    </row>
    <row r="102" spans="3:3" ht="15" customHeight="1">
      <c r="C102" s="523"/>
    </row>
    <row r="103" spans="3:3" ht="15" customHeight="1">
      <c r="C103" s="523"/>
    </row>
    <row r="104" spans="3:3" ht="15" customHeight="1">
      <c r="C104" s="523"/>
    </row>
    <row r="105" spans="3:3" ht="15" customHeight="1">
      <c r="C105" s="523"/>
    </row>
    <row r="106" spans="3:3" ht="15" customHeight="1">
      <c r="C106" s="523"/>
    </row>
    <row r="107" spans="3:3" ht="15" customHeight="1">
      <c r="C107" s="523"/>
    </row>
    <row r="108" spans="3:3" ht="15" customHeight="1">
      <c r="C108" s="523"/>
    </row>
    <row r="109" spans="3:3" ht="15" customHeight="1">
      <c r="C109" s="523"/>
    </row>
    <row r="110" spans="3:3" ht="15" customHeight="1">
      <c r="C110" s="523"/>
    </row>
    <row r="111" spans="3:3" ht="15" customHeight="1">
      <c r="C111" s="523"/>
    </row>
    <row r="112" spans="3:3" ht="15" customHeight="1">
      <c r="C112" s="523"/>
    </row>
    <row r="113" spans="3:3" ht="15" customHeight="1">
      <c r="C113" s="523"/>
    </row>
    <row r="114" spans="3:3" ht="15" customHeight="1">
      <c r="C114" s="523"/>
    </row>
    <row r="115" spans="3:3" ht="15" customHeight="1">
      <c r="C115" s="523"/>
    </row>
    <row r="116" spans="3:3" ht="15" customHeight="1">
      <c r="C116" s="523"/>
    </row>
    <row r="117" spans="3:3" ht="15" customHeight="1">
      <c r="C117" s="523"/>
    </row>
    <row r="118" spans="3:3" ht="15" customHeight="1">
      <c r="C118" s="523"/>
    </row>
    <row r="119" spans="3:3" ht="15" customHeight="1">
      <c r="C119" s="523"/>
    </row>
    <row r="120" spans="3:3" ht="15" customHeight="1">
      <c r="C120" s="523"/>
    </row>
    <row r="121" spans="3:3" ht="15" customHeight="1">
      <c r="C121" s="523"/>
    </row>
    <row r="122" spans="3:3" ht="15" customHeight="1">
      <c r="C122" s="523"/>
    </row>
    <row r="123" spans="3:3" ht="15" customHeight="1">
      <c r="C123" s="523"/>
    </row>
    <row r="124" spans="3:3" ht="15" customHeight="1">
      <c r="C124" s="523"/>
    </row>
    <row r="125" spans="3:3" ht="15" customHeight="1">
      <c r="C125" s="523"/>
    </row>
    <row r="126" spans="3:3" ht="15" customHeight="1">
      <c r="C126" s="523"/>
    </row>
    <row r="127" spans="3:3" ht="15" customHeight="1">
      <c r="C127" s="523"/>
    </row>
    <row r="128" spans="3:3" ht="15" customHeight="1">
      <c r="C128" s="523"/>
    </row>
    <row r="129" spans="3:3" ht="15" customHeight="1">
      <c r="C129" s="523"/>
    </row>
    <row r="130" spans="3:3" ht="15" customHeight="1">
      <c r="C130" s="523"/>
    </row>
    <row r="131" spans="3:3" ht="15" customHeight="1">
      <c r="C131" s="523"/>
    </row>
    <row r="132" spans="3:3" ht="15" customHeight="1">
      <c r="C132" s="523"/>
    </row>
    <row r="133" spans="3:3" ht="15" customHeight="1">
      <c r="C133" s="523"/>
    </row>
    <row r="134" spans="3:3" ht="15" customHeight="1">
      <c r="C134" s="523"/>
    </row>
    <row r="135" spans="3:3" ht="15" customHeight="1">
      <c r="C135" s="523"/>
    </row>
    <row r="136" spans="3:3" ht="15" customHeight="1">
      <c r="C136" s="523"/>
    </row>
    <row r="137" spans="3:3" ht="15" customHeight="1">
      <c r="C137" s="523"/>
    </row>
    <row r="138" spans="3:3" ht="15" customHeight="1">
      <c r="C138" s="523"/>
    </row>
    <row r="139" spans="3:3" ht="15" customHeight="1">
      <c r="C139" s="523"/>
    </row>
    <row r="140" spans="3:3" ht="15" customHeight="1">
      <c r="C140" s="523"/>
    </row>
    <row r="141" spans="3:3" ht="15" customHeight="1">
      <c r="C141" s="523"/>
    </row>
    <row r="142" spans="3:3" ht="15" customHeight="1">
      <c r="C142" s="523"/>
    </row>
    <row r="143" spans="3:3" ht="15" customHeight="1">
      <c r="C143" s="523"/>
    </row>
    <row r="144" spans="3:3" ht="15" customHeight="1">
      <c r="C144" s="523"/>
    </row>
    <row r="145" spans="3:3" ht="15" customHeight="1">
      <c r="C145" s="523"/>
    </row>
    <row r="146" spans="3:3" ht="15" customHeight="1">
      <c r="C146" s="523"/>
    </row>
    <row r="147" spans="3:3" ht="15" customHeight="1">
      <c r="C147" s="523"/>
    </row>
    <row r="148" spans="3:3" ht="15" customHeight="1">
      <c r="C148" s="523"/>
    </row>
    <row r="149" spans="3:3" ht="15" customHeight="1">
      <c r="C149" s="523"/>
    </row>
    <row r="150" spans="3:3" ht="15" customHeight="1">
      <c r="C150" s="523"/>
    </row>
    <row r="151" spans="3:3" ht="15" customHeight="1">
      <c r="C151" s="523"/>
    </row>
    <row r="152" spans="3:3" ht="15" customHeight="1">
      <c r="C152" s="523"/>
    </row>
    <row r="153" spans="3:3" ht="15" customHeight="1">
      <c r="C153" s="523"/>
    </row>
    <row r="154" spans="3:3" ht="15" customHeight="1">
      <c r="C154" s="523"/>
    </row>
    <row r="155" spans="3:3" ht="15" customHeight="1">
      <c r="C155" s="523"/>
    </row>
    <row r="156" spans="3:3" ht="15" customHeight="1">
      <c r="C156" s="523"/>
    </row>
    <row r="157" spans="3:3" ht="15" customHeight="1">
      <c r="C157" s="523"/>
    </row>
    <row r="158" spans="3:3" ht="15" customHeight="1">
      <c r="C158" s="523"/>
    </row>
    <row r="159" spans="3:3" ht="15" customHeight="1">
      <c r="C159" s="523"/>
    </row>
    <row r="160" spans="3:3" ht="15" customHeight="1">
      <c r="C160" s="523"/>
    </row>
    <row r="161" spans="3:3" ht="15" customHeight="1">
      <c r="C161" s="523"/>
    </row>
    <row r="162" spans="3:3" ht="15" customHeight="1">
      <c r="C162" s="523"/>
    </row>
    <row r="163" spans="3:3" ht="15" customHeight="1">
      <c r="C163" s="523"/>
    </row>
    <row r="164" spans="3:3" ht="15" customHeight="1">
      <c r="C164" s="523"/>
    </row>
    <row r="165" spans="3:3" ht="15" customHeight="1">
      <c r="C165" s="523"/>
    </row>
    <row r="166" spans="3:3" ht="15" customHeight="1">
      <c r="C166" s="523"/>
    </row>
    <row r="167" spans="3:3" ht="15" customHeight="1">
      <c r="C167" s="523"/>
    </row>
    <row r="168" spans="3:3" ht="15" customHeight="1">
      <c r="C168" s="523"/>
    </row>
    <row r="169" spans="3:3" ht="15" customHeight="1">
      <c r="C169" s="523"/>
    </row>
    <row r="170" spans="3:3" ht="15" customHeight="1">
      <c r="C170" s="523"/>
    </row>
    <row r="171" spans="3:3" ht="15" customHeight="1">
      <c r="C171" s="523"/>
    </row>
    <row r="172" spans="3:3" ht="15" customHeight="1">
      <c r="C172" s="523"/>
    </row>
    <row r="173" spans="3:3" ht="15" customHeight="1">
      <c r="C173" s="523"/>
    </row>
    <row r="174" spans="3:3" ht="15" customHeight="1">
      <c r="C174" s="523"/>
    </row>
    <row r="175" spans="3:3" ht="15" customHeight="1">
      <c r="C175" s="523"/>
    </row>
    <row r="176" spans="3:3" ht="15" customHeight="1">
      <c r="C176" s="523"/>
    </row>
    <row r="177" spans="3:3" ht="15" customHeight="1">
      <c r="C177" s="523"/>
    </row>
    <row r="178" spans="3:3" ht="15" customHeight="1">
      <c r="C178" s="523"/>
    </row>
    <row r="179" spans="3:3" ht="15" customHeight="1">
      <c r="C179" s="523"/>
    </row>
    <row r="180" spans="3:3" ht="15" customHeight="1">
      <c r="C180" s="523"/>
    </row>
    <row r="181" spans="3:3" ht="15" customHeight="1">
      <c r="C181" s="523"/>
    </row>
    <row r="182" spans="3:3" ht="15" customHeight="1">
      <c r="C182" s="523"/>
    </row>
    <row r="183" spans="3:3" ht="15" customHeight="1">
      <c r="C183" s="523"/>
    </row>
    <row r="184" spans="3:3" ht="15" customHeight="1">
      <c r="C184" s="523"/>
    </row>
    <row r="185" spans="3:3" ht="15" customHeight="1">
      <c r="C185" s="523"/>
    </row>
    <row r="186" spans="3:3" ht="15" customHeight="1">
      <c r="C186" s="523"/>
    </row>
    <row r="187" spans="3:3" ht="15" customHeight="1">
      <c r="C187" s="523"/>
    </row>
    <row r="188" spans="3:3" ht="15" customHeight="1">
      <c r="C188" s="523"/>
    </row>
    <row r="189" spans="3:3" ht="15" customHeight="1">
      <c r="C189" s="523"/>
    </row>
    <row r="190" spans="3:3" ht="15" customHeight="1">
      <c r="C190" s="523"/>
    </row>
    <row r="191" spans="3:3" ht="15" customHeight="1">
      <c r="C191" s="523"/>
    </row>
    <row r="192" spans="3:3" ht="15" customHeight="1">
      <c r="C192" s="523"/>
    </row>
    <row r="193" spans="3:3" ht="15" customHeight="1">
      <c r="C193" s="523"/>
    </row>
    <row r="194" spans="3:3" ht="15" customHeight="1">
      <c r="C194" s="523"/>
    </row>
    <row r="195" spans="3:3" ht="15" customHeight="1">
      <c r="C195" s="523"/>
    </row>
    <row r="196" spans="3:3" ht="15" customHeight="1">
      <c r="C196" s="523"/>
    </row>
    <row r="197" spans="3:3" ht="15" customHeight="1">
      <c r="C197" s="523"/>
    </row>
    <row r="198" spans="3:3" ht="15" customHeight="1">
      <c r="C198" s="523"/>
    </row>
    <row r="199" spans="3:3" ht="15" customHeight="1">
      <c r="C199" s="523"/>
    </row>
    <row r="200" spans="3:3" ht="15" customHeight="1">
      <c r="C200" s="523"/>
    </row>
    <row r="201" spans="3:3" ht="15" customHeight="1">
      <c r="C201" s="523"/>
    </row>
    <row r="202" spans="3:3" ht="15" customHeight="1">
      <c r="C202" s="523"/>
    </row>
    <row r="203" spans="3:3" ht="15" customHeight="1">
      <c r="C203" s="523"/>
    </row>
    <row r="204" spans="3:3" ht="15" customHeight="1">
      <c r="C204" s="523"/>
    </row>
    <row r="205" spans="3:3" ht="15" customHeight="1">
      <c r="C205" s="523"/>
    </row>
    <row r="206" spans="3:3" ht="15" customHeight="1">
      <c r="C206" s="523"/>
    </row>
    <row r="207" spans="3:3" ht="15" customHeight="1">
      <c r="C207" s="523"/>
    </row>
    <row r="208" spans="3:3" ht="15" customHeight="1">
      <c r="C208" s="523"/>
    </row>
    <row r="209" spans="3:3" ht="15" customHeight="1">
      <c r="C209" s="523"/>
    </row>
    <row r="210" spans="3:3" ht="15" customHeight="1">
      <c r="C210" s="523"/>
    </row>
    <row r="211" spans="3:3" ht="15" customHeight="1">
      <c r="C211" s="523"/>
    </row>
    <row r="212" spans="3:3" ht="15" customHeight="1">
      <c r="C212" s="523"/>
    </row>
    <row r="213" spans="3:3" ht="15" customHeight="1">
      <c r="C213" s="523"/>
    </row>
    <row r="214" spans="3:3" ht="15" customHeight="1">
      <c r="C214" s="523"/>
    </row>
    <row r="215" spans="3:3" ht="15" customHeight="1">
      <c r="C215" s="523"/>
    </row>
    <row r="216" spans="3:3" ht="15" customHeight="1">
      <c r="C216" s="523"/>
    </row>
    <row r="217" spans="3:3" ht="15" customHeight="1">
      <c r="C217" s="523"/>
    </row>
    <row r="218" spans="3:3" ht="15" customHeight="1">
      <c r="C218" s="523"/>
    </row>
    <row r="219" spans="3:3" ht="15" customHeight="1">
      <c r="C219" s="523"/>
    </row>
    <row r="220" spans="3:3" ht="15" customHeight="1">
      <c r="C220" s="523"/>
    </row>
    <row r="221" spans="3:3" ht="15" customHeight="1">
      <c r="C221" s="523"/>
    </row>
    <row r="222" spans="3:3" ht="15" customHeight="1">
      <c r="C222" s="523"/>
    </row>
    <row r="223" spans="3:3" ht="15" customHeight="1">
      <c r="C223" s="523"/>
    </row>
    <row r="224" spans="3:3" ht="15" customHeight="1">
      <c r="C224" s="523"/>
    </row>
    <row r="225" spans="3:3" ht="15" customHeight="1">
      <c r="C225" s="523"/>
    </row>
    <row r="226" spans="3:3" ht="15" customHeight="1">
      <c r="C226" s="523"/>
    </row>
    <row r="227" spans="3:3" ht="15" customHeight="1">
      <c r="C227" s="523"/>
    </row>
    <row r="228" spans="3:3" ht="15" customHeight="1">
      <c r="C228" s="523"/>
    </row>
    <row r="229" spans="3:3" ht="15" customHeight="1">
      <c r="C229" s="523"/>
    </row>
    <row r="230" spans="3:3" ht="15" customHeight="1">
      <c r="C230" s="523"/>
    </row>
    <row r="231" spans="3:3" ht="15" customHeight="1">
      <c r="C231" s="523"/>
    </row>
    <row r="232" spans="3:3" ht="15" customHeight="1">
      <c r="C232" s="523"/>
    </row>
    <row r="233" spans="3:3" ht="15" customHeight="1">
      <c r="C233" s="523"/>
    </row>
    <row r="234" spans="3:3" ht="15" customHeight="1">
      <c r="C234" s="523"/>
    </row>
    <row r="235" spans="3:3" ht="15" customHeight="1">
      <c r="C235" s="523"/>
    </row>
    <row r="236" spans="3:3" ht="15" customHeight="1">
      <c r="C236" s="523"/>
    </row>
    <row r="237" spans="3:3" ht="15" customHeight="1">
      <c r="C237" s="523"/>
    </row>
    <row r="238" spans="3:3" ht="15" customHeight="1">
      <c r="C238" s="523"/>
    </row>
    <row r="239" spans="3:3" ht="15" customHeight="1">
      <c r="C239" s="523"/>
    </row>
    <row r="240" spans="3:3" ht="15" customHeight="1">
      <c r="C240" s="523"/>
    </row>
    <row r="241" spans="3:3" ht="15" customHeight="1">
      <c r="C241" s="523"/>
    </row>
    <row r="242" spans="3:3" ht="15" customHeight="1">
      <c r="C242" s="523"/>
    </row>
    <row r="243" spans="3:3" ht="15" customHeight="1">
      <c r="C243" s="523"/>
    </row>
    <row r="244" spans="3:3" ht="15" customHeight="1">
      <c r="C244" s="523"/>
    </row>
    <row r="245" spans="3:3" ht="15" customHeight="1">
      <c r="C245" s="523"/>
    </row>
    <row r="246" spans="3:3" ht="15" customHeight="1">
      <c r="C246" s="523"/>
    </row>
    <row r="247" spans="3:3" ht="15" customHeight="1">
      <c r="C247" s="523"/>
    </row>
    <row r="248" spans="3:3" ht="15" customHeight="1">
      <c r="C248" s="523"/>
    </row>
    <row r="249" spans="3:3" ht="15" customHeight="1">
      <c r="C249" s="523"/>
    </row>
    <row r="250" spans="3:3" ht="15" customHeight="1">
      <c r="C250" s="523"/>
    </row>
    <row r="251" spans="3:3" ht="15" customHeight="1">
      <c r="C251" s="523"/>
    </row>
    <row r="252" spans="3:3" ht="15" customHeight="1">
      <c r="C252" s="523"/>
    </row>
    <row r="253" spans="3:3" ht="15" customHeight="1">
      <c r="C253" s="523"/>
    </row>
    <row r="254" spans="3:3" ht="15" customHeight="1">
      <c r="C254" s="523"/>
    </row>
    <row r="255" spans="3:3" ht="15" customHeight="1">
      <c r="C255" s="523"/>
    </row>
    <row r="256" spans="3:3" ht="15" customHeight="1">
      <c r="C256" s="523"/>
    </row>
    <row r="257" spans="3:3" ht="15" customHeight="1">
      <c r="C257" s="523"/>
    </row>
    <row r="258" spans="3:3" ht="15" customHeight="1">
      <c r="C258" s="523"/>
    </row>
    <row r="259" spans="3:3" ht="15" customHeight="1">
      <c r="C259" s="523"/>
    </row>
    <row r="260" spans="3:3" ht="15" customHeight="1">
      <c r="C260" s="523"/>
    </row>
    <row r="261" spans="3:3" ht="15" customHeight="1">
      <c r="C261" s="523"/>
    </row>
    <row r="262" spans="3:3" ht="15" customHeight="1">
      <c r="C262" s="523"/>
    </row>
    <row r="263" spans="3:3" ht="15" customHeight="1">
      <c r="C263" s="523"/>
    </row>
    <row r="264" spans="3:3" ht="15" customHeight="1">
      <c r="C264" s="523"/>
    </row>
    <row r="265" spans="3:3" ht="15" customHeight="1">
      <c r="C265" s="523"/>
    </row>
    <row r="266" spans="3:3" ht="15" customHeight="1">
      <c r="C266" s="523"/>
    </row>
    <row r="267" spans="3:3" ht="15" customHeight="1">
      <c r="C267" s="523"/>
    </row>
    <row r="268" spans="3:3" ht="15" customHeight="1">
      <c r="C268" s="523"/>
    </row>
    <row r="269" spans="3:3" ht="15" customHeight="1">
      <c r="C269" s="523"/>
    </row>
    <row r="270" spans="3:3" ht="15" customHeight="1">
      <c r="C270" s="523"/>
    </row>
    <row r="271" spans="3:3" ht="15" customHeight="1">
      <c r="C271" s="523"/>
    </row>
    <row r="272" spans="3:3" ht="15" customHeight="1">
      <c r="C272" s="523"/>
    </row>
    <row r="273" spans="3:3" ht="15" customHeight="1">
      <c r="C273" s="523"/>
    </row>
    <row r="274" spans="3:3" ht="15" customHeight="1">
      <c r="C274" s="523"/>
    </row>
    <row r="275" spans="3:3" ht="15" customHeight="1">
      <c r="C275" s="523"/>
    </row>
    <row r="276" spans="3:3" ht="15" customHeight="1">
      <c r="C276" s="523"/>
    </row>
    <row r="277" spans="3:3" ht="15" customHeight="1">
      <c r="C277" s="523"/>
    </row>
    <row r="278" spans="3:3" ht="15" customHeight="1">
      <c r="C278" s="523"/>
    </row>
    <row r="279" spans="3:3" ht="15" customHeight="1">
      <c r="C279" s="523"/>
    </row>
    <row r="280" spans="3:3" ht="15" customHeight="1">
      <c r="C280" s="523"/>
    </row>
    <row r="281" spans="3:3" ht="15" customHeight="1">
      <c r="C281" s="523"/>
    </row>
    <row r="282" spans="3:3" ht="15" customHeight="1">
      <c r="C282" s="523"/>
    </row>
    <row r="283" spans="3:3" ht="15" customHeight="1">
      <c r="C283" s="523"/>
    </row>
    <row r="284" spans="3:3" ht="15" customHeight="1">
      <c r="C284" s="523"/>
    </row>
    <row r="285" spans="3:3" ht="15" customHeight="1">
      <c r="C285" s="523"/>
    </row>
    <row r="286" spans="3:3" ht="15" customHeight="1">
      <c r="C286" s="523"/>
    </row>
    <row r="287" spans="3:3" ht="15" customHeight="1">
      <c r="C287" s="523"/>
    </row>
    <row r="288" spans="3:3" ht="15" customHeight="1">
      <c r="C288" s="523"/>
    </row>
    <row r="289" spans="3:3" ht="15" customHeight="1">
      <c r="C289" s="523"/>
    </row>
    <row r="290" spans="3:3" ht="15" customHeight="1">
      <c r="C290" s="523"/>
    </row>
    <row r="291" spans="3:3" ht="15" customHeight="1">
      <c r="C291" s="523"/>
    </row>
    <row r="292" spans="3:3" ht="15" customHeight="1">
      <c r="C292" s="523"/>
    </row>
    <row r="293" spans="3:3" ht="15" customHeight="1">
      <c r="C293" s="523"/>
    </row>
    <row r="294" spans="3:3" ht="15" customHeight="1">
      <c r="C294" s="523"/>
    </row>
    <row r="295" spans="3:3" ht="15" customHeight="1">
      <c r="C295" s="523"/>
    </row>
    <row r="296" spans="3:3" ht="15" customHeight="1">
      <c r="C296" s="523"/>
    </row>
    <row r="297" spans="3:3" ht="15" customHeight="1">
      <c r="C297" s="523"/>
    </row>
    <row r="298" spans="3:3" ht="15" customHeight="1">
      <c r="C298" s="523"/>
    </row>
    <row r="299" spans="3:3" ht="15" customHeight="1">
      <c r="C299" s="523"/>
    </row>
    <row r="300" spans="3:3" ht="15" customHeight="1">
      <c r="C300" s="523"/>
    </row>
    <row r="301" spans="3:3" ht="15" customHeight="1">
      <c r="C301" s="523"/>
    </row>
    <row r="302" spans="3:3" ht="15" customHeight="1">
      <c r="C302" s="523"/>
    </row>
    <row r="303" spans="3:3" ht="15" customHeight="1">
      <c r="C303" s="523"/>
    </row>
    <row r="304" spans="3:3" ht="15" customHeight="1">
      <c r="C304" s="523"/>
    </row>
    <row r="305" spans="3:3" ht="15" customHeight="1">
      <c r="C305" s="523"/>
    </row>
    <row r="306" spans="3:3" ht="15" customHeight="1">
      <c r="C306" s="523"/>
    </row>
    <row r="307" spans="3:3" ht="15" customHeight="1">
      <c r="C307" s="523"/>
    </row>
    <row r="308" spans="3:3" ht="15" customHeight="1">
      <c r="C308" s="523"/>
    </row>
    <row r="309" spans="3:3" ht="15" customHeight="1">
      <c r="C309" s="523"/>
    </row>
    <row r="310" spans="3:3" ht="15" customHeight="1">
      <c r="C310" s="523"/>
    </row>
    <row r="311" spans="3:3" ht="15" customHeight="1">
      <c r="C311" s="523"/>
    </row>
    <row r="312" spans="3:3" ht="15" customHeight="1">
      <c r="C312" s="523"/>
    </row>
    <row r="313" spans="3:3" ht="15" customHeight="1">
      <c r="C313" s="523"/>
    </row>
    <row r="314" spans="3:3" ht="15" customHeight="1">
      <c r="C314" s="523"/>
    </row>
    <row r="315" spans="3:3" ht="15" customHeight="1">
      <c r="C315" s="523"/>
    </row>
    <row r="316" spans="3:3" ht="15" customHeight="1">
      <c r="C316" s="523"/>
    </row>
    <row r="317" spans="3:3" ht="15" customHeight="1">
      <c r="C317" s="523"/>
    </row>
    <row r="318" spans="3:3" ht="15" customHeight="1">
      <c r="C318" s="523"/>
    </row>
    <row r="319" spans="3:3" ht="15" customHeight="1">
      <c r="C319" s="523"/>
    </row>
    <row r="320" spans="3:3" ht="15" customHeight="1">
      <c r="C320" s="523"/>
    </row>
    <row r="321" spans="3:3" ht="15" customHeight="1">
      <c r="C321" s="523"/>
    </row>
    <row r="322" spans="3:3" ht="15" customHeight="1">
      <c r="C322" s="523"/>
    </row>
    <row r="323" spans="3:3" ht="15" customHeight="1">
      <c r="C323" s="523"/>
    </row>
    <row r="324" spans="3:3" ht="15" customHeight="1">
      <c r="C324" s="523"/>
    </row>
    <row r="325" spans="3:3" ht="15" customHeight="1">
      <c r="C325" s="523"/>
    </row>
    <row r="326" spans="3:3" ht="15" customHeight="1">
      <c r="C326" s="523"/>
    </row>
    <row r="327" spans="3:3" ht="15" customHeight="1">
      <c r="C327" s="523"/>
    </row>
    <row r="328" spans="3:3" ht="15" customHeight="1">
      <c r="C328" s="523"/>
    </row>
    <row r="329" spans="3:3" ht="15" customHeight="1">
      <c r="C329" s="523"/>
    </row>
    <row r="330" spans="3:3" ht="15" customHeight="1">
      <c r="C330" s="523"/>
    </row>
    <row r="331" spans="3:3" ht="15" customHeight="1">
      <c r="C331" s="523"/>
    </row>
    <row r="332" spans="3:3" ht="15" customHeight="1">
      <c r="C332" s="523"/>
    </row>
    <row r="333" spans="3:3" ht="15" customHeight="1">
      <c r="C333" s="523"/>
    </row>
    <row r="334" spans="3:3" ht="15" customHeight="1">
      <c r="C334" s="523"/>
    </row>
    <row r="335" spans="3:3" ht="15" customHeight="1">
      <c r="C335" s="523"/>
    </row>
    <row r="336" spans="3:3" ht="15" customHeight="1">
      <c r="C336" s="523"/>
    </row>
    <row r="337" spans="3:3" ht="15" customHeight="1">
      <c r="C337" s="523"/>
    </row>
    <row r="338" spans="3:3" ht="15" customHeight="1">
      <c r="C338" s="523"/>
    </row>
    <row r="339" spans="3:3" ht="15" customHeight="1">
      <c r="C339" s="523"/>
    </row>
    <row r="340" spans="3:3" ht="15" customHeight="1">
      <c r="C340" s="523"/>
    </row>
    <row r="341" spans="3:3" ht="15" customHeight="1">
      <c r="C341" s="523"/>
    </row>
    <row r="342" spans="3:3" ht="15" customHeight="1">
      <c r="C342" s="523"/>
    </row>
    <row r="343" spans="3:3" ht="15" customHeight="1">
      <c r="C343" s="523"/>
    </row>
    <row r="344" spans="3:3" ht="15" customHeight="1">
      <c r="C344" s="523"/>
    </row>
    <row r="345" spans="3:3" ht="15" customHeight="1">
      <c r="C345" s="523"/>
    </row>
    <row r="346" spans="3:3" ht="15" customHeight="1">
      <c r="C346" s="523"/>
    </row>
    <row r="347" spans="3:3" ht="15" customHeight="1">
      <c r="C347" s="523"/>
    </row>
    <row r="348" spans="3:3" ht="15" customHeight="1">
      <c r="C348" s="523"/>
    </row>
    <row r="349" spans="3:3" ht="15" customHeight="1">
      <c r="C349" s="523"/>
    </row>
    <row r="350" spans="3:3" ht="15" customHeight="1">
      <c r="C350" s="523"/>
    </row>
    <row r="351" spans="3:3" ht="15" customHeight="1">
      <c r="C351" s="523"/>
    </row>
    <row r="352" spans="3:3" ht="15" customHeight="1">
      <c r="C352" s="523"/>
    </row>
    <row r="353" spans="3:3" ht="15" customHeight="1">
      <c r="C353" s="523"/>
    </row>
    <row r="354" spans="3:3" ht="15" customHeight="1">
      <c r="C354" s="523"/>
    </row>
    <row r="355" spans="3:3" ht="15" customHeight="1">
      <c r="C355" s="523"/>
    </row>
    <row r="356" spans="3:3" ht="15" customHeight="1">
      <c r="C356" s="523"/>
    </row>
    <row r="357" spans="3:3" ht="15" customHeight="1">
      <c r="C357" s="523"/>
    </row>
    <row r="358" spans="3:3" ht="15" customHeight="1">
      <c r="C358" s="523"/>
    </row>
    <row r="359" spans="3:3" ht="15" customHeight="1">
      <c r="C359" s="523"/>
    </row>
    <row r="360" spans="3:3" ht="15" customHeight="1">
      <c r="C360" s="523"/>
    </row>
    <row r="361" spans="3:3" ht="15" customHeight="1">
      <c r="C361" s="523"/>
    </row>
    <row r="362" spans="3:3" ht="15" customHeight="1">
      <c r="C362" s="523"/>
    </row>
    <row r="363" spans="3:3" ht="15" customHeight="1">
      <c r="C363" s="523"/>
    </row>
    <row r="364" spans="3:3" ht="15" customHeight="1">
      <c r="C364" s="523"/>
    </row>
    <row r="365" spans="3:3" ht="15" customHeight="1">
      <c r="C365" s="523"/>
    </row>
    <row r="366" spans="3:3" ht="15" customHeight="1">
      <c r="C366" s="523"/>
    </row>
    <row r="367" spans="3:3" ht="15" customHeight="1">
      <c r="C367" s="523"/>
    </row>
    <row r="368" spans="3:3" ht="15" customHeight="1">
      <c r="C368" s="523"/>
    </row>
    <row r="369" spans="3:3" ht="15" customHeight="1">
      <c r="C369" s="523"/>
    </row>
    <row r="370" spans="3:3" ht="15" customHeight="1">
      <c r="C370" s="523"/>
    </row>
    <row r="371" spans="3:3" ht="15" customHeight="1">
      <c r="C371" s="523"/>
    </row>
    <row r="372" spans="3:3" ht="15" customHeight="1">
      <c r="C372" s="523"/>
    </row>
    <row r="373" spans="3:3" ht="15" customHeight="1">
      <c r="C373" s="523"/>
    </row>
    <row r="374" spans="3:3" ht="15" customHeight="1">
      <c r="C374" s="523"/>
    </row>
    <row r="375" spans="3:3" ht="15" customHeight="1">
      <c r="C375" s="523"/>
    </row>
    <row r="376" spans="3:3" ht="15" customHeight="1">
      <c r="C376" s="523"/>
    </row>
    <row r="377" spans="3:3" ht="15" customHeight="1">
      <c r="C377" s="523"/>
    </row>
    <row r="378" spans="3:3" ht="15" customHeight="1">
      <c r="C378" s="523"/>
    </row>
    <row r="379" spans="3:3" ht="15" customHeight="1">
      <c r="C379" s="523"/>
    </row>
    <row r="380" spans="3:3" ht="15" customHeight="1">
      <c r="C380" s="523"/>
    </row>
    <row r="381" spans="3:3" ht="15" customHeight="1">
      <c r="C381" s="523"/>
    </row>
    <row r="382" spans="3:3" ht="15" customHeight="1">
      <c r="C382" s="523"/>
    </row>
    <row r="383" spans="3:3" ht="15" customHeight="1">
      <c r="C383" s="523"/>
    </row>
    <row r="384" spans="3:3" ht="15" customHeight="1">
      <c r="C384" s="523"/>
    </row>
    <row r="385" spans="3:3" ht="15" customHeight="1">
      <c r="C385" s="523"/>
    </row>
    <row r="386" spans="3:3" ht="15" customHeight="1">
      <c r="C386" s="523"/>
    </row>
    <row r="387" spans="3:3" ht="15" customHeight="1">
      <c r="C387" s="523"/>
    </row>
    <row r="388" spans="3:3" ht="15" customHeight="1">
      <c r="C388" s="523"/>
    </row>
    <row r="389" spans="3:3" ht="15" customHeight="1">
      <c r="C389" s="523"/>
    </row>
    <row r="390" spans="3:3" ht="15" customHeight="1">
      <c r="C390" s="523"/>
    </row>
    <row r="391" spans="3:3" ht="15" customHeight="1">
      <c r="C391" s="523"/>
    </row>
    <row r="392" spans="3:3" ht="15" customHeight="1">
      <c r="C392" s="523"/>
    </row>
    <row r="393" spans="3:3" ht="15" customHeight="1">
      <c r="C393" s="523"/>
    </row>
    <row r="394" spans="3:3" ht="15" customHeight="1">
      <c r="C394" s="523"/>
    </row>
    <row r="395" spans="3:3" ht="15" customHeight="1">
      <c r="C395" s="523"/>
    </row>
    <row r="396" spans="3:3" ht="15" customHeight="1">
      <c r="C396" s="523"/>
    </row>
    <row r="397" spans="3:3" ht="15" customHeight="1">
      <c r="C397" s="523"/>
    </row>
    <row r="398" spans="3:3" ht="15" customHeight="1">
      <c r="C398" s="523"/>
    </row>
    <row r="399" spans="3:3" ht="15" customHeight="1">
      <c r="C399" s="523"/>
    </row>
    <row r="400" spans="3:3" ht="15" customHeight="1">
      <c r="C400" s="523"/>
    </row>
    <row r="401" spans="3:3" ht="15" customHeight="1">
      <c r="C401" s="523"/>
    </row>
    <row r="402" spans="3:3" ht="15" customHeight="1">
      <c r="C402" s="523"/>
    </row>
    <row r="403" spans="3:3" ht="15" customHeight="1">
      <c r="C403" s="523"/>
    </row>
    <row r="404" spans="3:3" ht="15" customHeight="1">
      <c r="C404" s="523"/>
    </row>
    <row r="405" spans="3:3" ht="15" customHeight="1">
      <c r="C405" s="523"/>
    </row>
    <row r="406" spans="3:3" ht="15" customHeight="1">
      <c r="C406" s="523"/>
    </row>
    <row r="407" spans="3:3" ht="15" customHeight="1">
      <c r="C407" s="523"/>
    </row>
    <row r="408" spans="3:3" ht="15" customHeight="1">
      <c r="C408" s="523"/>
    </row>
    <row r="409" spans="3:3" ht="15" customHeight="1">
      <c r="C409" s="523"/>
    </row>
    <row r="410" spans="3:3" ht="15" customHeight="1">
      <c r="C410" s="523"/>
    </row>
    <row r="411" spans="3:3" ht="15" customHeight="1">
      <c r="C411" s="523"/>
    </row>
    <row r="412" spans="3:3" ht="15" customHeight="1">
      <c r="C412" s="523"/>
    </row>
    <row r="413" spans="3:3" ht="15" customHeight="1">
      <c r="C413" s="523"/>
    </row>
    <row r="414" spans="3:3" ht="15" customHeight="1">
      <c r="C414" s="523"/>
    </row>
    <row r="415" spans="3:3" ht="15" customHeight="1">
      <c r="C415" s="523"/>
    </row>
    <row r="416" spans="3:3" ht="15" customHeight="1">
      <c r="C416" s="523"/>
    </row>
    <row r="417" spans="3:3" ht="15" customHeight="1">
      <c r="C417" s="523"/>
    </row>
    <row r="418" spans="3:3" ht="15" customHeight="1">
      <c r="C418" s="523"/>
    </row>
    <row r="419" spans="3:3" ht="15" customHeight="1">
      <c r="C419" s="523"/>
    </row>
    <row r="420" spans="3:3" ht="15" customHeight="1">
      <c r="C420" s="523"/>
    </row>
    <row r="421" spans="3:3" ht="15" customHeight="1">
      <c r="C421" s="523"/>
    </row>
    <row r="422" spans="3:3" ht="15" customHeight="1">
      <c r="C422" s="523"/>
    </row>
    <row r="423" spans="3:3" ht="15" customHeight="1">
      <c r="C423" s="523"/>
    </row>
    <row r="424" spans="3:3" ht="15" customHeight="1">
      <c r="C424" s="523"/>
    </row>
    <row r="425" spans="3:3" ht="15" customHeight="1">
      <c r="C425" s="523"/>
    </row>
    <row r="426" spans="3:3" ht="15" customHeight="1">
      <c r="C426" s="523"/>
    </row>
    <row r="427" spans="3:3" ht="15" customHeight="1">
      <c r="C427" s="523"/>
    </row>
    <row r="428" spans="3:3" ht="15" customHeight="1">
      <c r="C428" s="523"/>
    </row>
    <row r="429" spans="3:3" ht="15" customHeight="1">
      <c r="C429" s="523"/>
    </row>
    <row r="430" spans="3:3" ht="15" customHeight="1">
      <c r="C430" s="523"/>
    </row>
    <row r="431" spans="3:3" ht="15" customHeight="1">
      <c r="C431" s="523"/>
    </row>
    <row r="432" spans="3:3" ht="15" customHeight="1">
      <c r="C432" s="523"/>
    </row>
    <row r="433" spans="3:3" ht="15" customHeight="1">
      <c r="C433" s="523"/>
    </row>
    <row r="434" spans="3:3" ht="15" customHeight="1">
      <c r="C434" s="523"/>
    </row>
    <row r="435" spans="3:3" ht="15" customHeight="1">
      <c r="C435" s="523"/>
    </row>
    <row r="436" spans="3:3" ht="15" customHeight="1">
      <c r="C436" s="523"/>
    </row>
    <row r="437" spans="3:3" ht="15" customHeight="1">
      <c r="C437" s="523"/>
    </row>
    <row r="438" spans="3:3" ht="15" customHeight="1">
      <c r="C438" s="523"/>
    </row>
    <row r="439" spans="3:3" ht="15" customHeight="1">
      <c r="C439" s="523"/>
    </row>
    <row r="440" spans="3:3" ht="15" customHeight="1">
      <c r="C440" s="523"/>
    </row>
    <row r="441" spans="3:3" ht="15" customHeight="1">
      <c r="C441" s="523"/>
    </row>
    <row r="442" spans="3:3" ht="15" customHeight="1">
      <c r="C442" s="523"/>
    </row>
    <row r="443" spans="3:3" ht="15" customHeight="1">
      <c r="C443" s="523"/>
    </row>
    <row r="444" spans="3:3" ht="15" customHeight="1">
      <c r="C444" s="523"/>
    </row>
    <row r="445" spans="3:3" ht="15" customHeight="1">
      <c r="C445" s="523"/>
    </row>
    <row r="446" spans="3:3" ht="15" customHeight="1">
      <c r="C446" s="523"/>
    </row>
    <row r="447" spans="3:3" ht="15" customHeight="1">
      <c r="C447" s="523"/>
    </row>
    <row r="448" spans="3:3" ht="15" customHeight="1">
      <c r="C448" s="523"/>
    </row>
    <row r="449" spans="3:3" ht="15" customHeight="1">
      <c r="C449" s="523"/>
    </row>
    <row r="450" spans="3:3" ht="15" customHeight="1">
      <c r="C450" s="523"/>
    </row>
    <row r="451" spans="3:3" ht="15" customHeight="1">
      <c r="C451" s="523"/>
    </row>
    <row r="452" spans="3:3" ht="15" customHeight="1">
      <c r="C452" s="523"/>
    </row>
    <row r="453" spans="3:3" ht="15" customHeight="1">
      <c r="C453" s="523"/>
    </row>
    <row r="454" spans="3:3" ht="15" customHeight="1">
      <c r="C454" s="523"/>
    </row>
    <row r="455" spans="3:3" ht="15" customHeight="1">
      <c r="C455" s="523"/>
    </row>
    <row r="456" spans="3:3" ht="15" customHeight="1">
      <c r="C456" s="523"/>
    </row>
    <row r="457" spans="3:3" ht="15" customHeight="1">
      <c r="C457" s="523"/>
    </row>
    <row r="458" spans="3:3" ht="15" customHeight="1">
      <c r="C458" s="523"/>
    </row>
    <row r="459" spans="3:3" ht="15" customHeight="1">
      <c r="C459" s="523"/>
    </row>
    <row r="460" spans="3:3" ht="15" customHeight="1">
      <c r="C460" s="523"/>
    </row>
    <row r="461" spans="3:3" ht="15" customHeight="1">
      <c r="C461" s="523"/>
    </row>
    <row r="462" spans="3:3" ht="15" customHeight="1">
      <c r="C462" s="523"/>
    </row>
    <row r="463" spans="3:3" ht="15" customHeight="1">
      <c r="C463" s="523"/>
    </row>
    <row r="464" spans="3:3" ht="15" customHeight="1">
      <c r="C464" s="523"/>
    </row>
    <row r="465" spans="3:3" ht="15" customHeight="1">
      <c r="C465" s="523"/>
    </row>
    <row r="466" spans="3:3" ht="15" customHeight="1">
      <c r="C466" s="523"/>
    </row>
    <row r="467" spans="3:3" ht="15" customHeight="1">
      <c r="C467" s="523"/>
    </row>
    <row r="468" spans="3:3" ht="15" customHeight="1">
      <c r="C468" s="523"/>
    </row>
    <row r="469" spans="3:3" ht="15" customHeight="1">
      <c r="C469" s="523"/>
    </row>
    <row r="470" spans="3:3" ht="15" customHeight="1">
      <c r="C470" s="523"/>
    </row>
    <row r="471" spans="3:3" ht="15" customHeight="1">
      <c r="C471" s="523"/>
    </row>
    <row r="472" spans="3:3" ht="15" customHeight="1">
      <c r="C472" s="523"/>
    </row>
    <row r="473" spans="3:3" ht="15" customHeight="1">
      <c r="C473" s="523"/>
    </row>
    <row r="474" spans="3:3" ht="15" customHeight="1">
      <c r="C474" s="523"/>
    </row>
    <row r="475" spans="3:3" ht="15" customHeight="1">
      <c r="C475" s="523"/>
    </row>
    <row r="476" spans="3:3" ht="15" customHeight="1">
      <c r="C476" s="523"/>
    </row>
    <row r="477" spans="3:3" ht="15" customHeight="1">
      <c r="C477" s="523"/>
    </row>
    <row r="478" spans="3:3" ht="15" customHeight="1">
      <c r="C478" s="523"/>
    </row>
    <row r="479" spans="3:3" ht="15" customHeight="1">
      <c r="C479" s="523"/>
    </row>
    <row r="480" spans="3:3" ht="15" customHeight="1">
      <c r="C480" s="523"/>
    </row>
    <row r="481" spans="3:3" ht="15" customHeight="1">
      <c r="C481" s="523"/>
    </row>
    <row r="482" spans="3:3" ht="15" customHeight="1">
      <c r="C482" s="523"/>
    </row>
    <row r="483" spans="3:3" ht="15" customHeight="1">
      <c r="C483" s="523"/>
    </row>
    <row r="484" spans="3:3" ht="15" customHeight="1">
      <c r="C484" s="523"/>
    </row>
    <row r="485" spans="3:3" ht="15" customHeight="1">
      <c r="C485" s="523"/>
    </row>
    <row r="486" spans="3:3" ht="15" customHeight="1">
      <c r="C486" s="523"/>
    </row>
    <row r="487" spans="3:3" ht="15" customHeight="1">
      <c r="C487" s="523"/>
    </row>
    <row r="488" spans="3:3" ht="15" customHeight="1">
      <c r="C488" s="523"/>
    </row>
    <row r="489" spans="3:3" ht="15" customHeight="1">
      <c r="C489" s="523"/>
    </row>
    <row r="490" spans="3:3" ht="15" customHeight="1">
      <c r="C490" s="523"/>
    </row>
    <row r="491" spans="3:3" ht="15" customHeight="1">
      <c r="C491" s="523"/>
    </row>
    <row r="492" spans="3:3" ht="15" customHeight="1">
      <c r="C492" s="523"/>
    </row>
    <row r="493" spans="3:3" ht="15" customHeight="1">
      <c r="C493" s="523"/>
    </row>
    <row r="494" spans="3:3" ht="15" customHeight="1">
      <c r="C494" s="523"/>
    </row>
    <row r="495" spans="3:3" ht="15" customHeight="1">
      <c r="C495" s="523"/>
    </row>
    <row r="496" spans="3:3" ht="15" customHeight="1">
      <c r="C496" s="523"/>
    </row>
    <row r="497" spans="3:3" ht="15" customHeight="1">
      <c r="C497" s="523"/>
    </row>
    <row r="498" spans="3:3" ht="15" customHeight="1">
      <c r="C498" s="523"/>
    </row>
    <row r="499" spans="3:3" ht="15" customHeight="1">
      <c r="C499" s="523"/>
    </row>
    <row r="500" spans="3:3" ht="15" customHeight="1">
      <c r="C500" s="523"/>
    </row>
    <row r="501" spans="3:3" ht="15" customHeight="1">
      <c r="C501" s="523"/>
    </row>
    <row r="502" spans="3:3" ht="15" customHeight="1">
      <c r="C502" s="523"/>
    </row>
    <row r="503" spans="3:3" ht="15" customHeight="1">
      <c r="C503" s="523"/>
    </row>
    <row r="504" spans="3:3" ht="15" customHeight="1">
      <c r="C504" s="523"/>
    </row>
    <row r="505" spans="3:3" ht="15" customHeight="1">
      <c r="C505" s="523"/>
    </row>
    <row r="506" spans="3:3" ht="15" customHeight="1">
      <c r="C506" s="523"/>
    </row>
    <row r="507" spans="3:3" ht="15" customHeight="1">
      <c r="C507" s="523"/>
    </row>
    <row r="508" spans="3:3" ht="15" customHeight="1">
      <c r="C508" s="523"/>
    </row>
    <row r="509" spans="3:3" ht="15" customHeight="1">
      <c r="C509" s="523"/>
    </row>
    <row r="510" spans="3:3" ht="15" customHeight="1">
      <c r="C510" s="523"/>
    </row>
    <row r="511" spans="3:3" ht="15" customHeight="1">
      <c r="C511" s="523"/>
    </row>
    <row r="512" spans="3:3" ht="15" customHeight="1">
      <c r="C512" s="523"/>
    </row>
    <row r="513" spans="3:3" ht="15" customHeight="1">
      <c r="C513" s="523"/>
    </row>
    <row r="514" spans="3:3" ht="15" customHeight="1">
      <c r="C514" s="523"/>
    </row>
    <row r="515" spans="3:3" ht="15" customHeight="1">
      <c r="C515" s="523"/>
    </row>
    <row r="516" spans="3:3" ht="15" customHeight="1">
      <c r="C516" s="523"/>
    </row>
    <row r="517" spans="3:3" ht="15" customHeight="1">
      <c r="C517" s="523"/>
    </row>
    <row r="518" spans="3:3" ht="15" customHeight="1">
      <c r="C518" s="523"/>
    </row>
    <row r="519" spans="3:3" ht="15" customHeight="1">
      <c r="C519" s="523"/>
    </row>
    <row r="520" spans="3:3" ht="15" customHeight="1">
      <c r="C520" s="523"/>
    </row>
    <row r="521" spans="3:3" ht="15" customHeight="1">
      <c r="C521" s="523"/>
    </row>
    <row r="522" spans="3:3" ht="15" customHeight="1">
      <c r="C522" s="523"/>
    </row>
    <row r="523" spans="3:3" ht="15" customHeight="1">
      <c r="C523" s="523"/>
    </row>
    <row r="524" spans="3:3" ht="15" customHeight="1">
      <c r="C524" s="523"/>
    </row>
    <row r="525" spans="3:3" ht="15" customHeight="1">
      <c r="C525" s="523"/>
    </row>
    <row r="526" spans="3:3" ht="15" customHeight="1">
      <c r="C526" s="523"/>
    </row>
    <row r="527" spans="3:3" ht="15" customHeight="1">
      <c r="C527" s="523"/>
    </row>
    <row r="528" spans="3:3" ht="15" customHeight="1">
      <c r="C528" s="523"/>
    </row>
    <row r="529" spans="3:3" ht="15" customHeight="1">
      <c r="C529" s="523"/>
    </row>
    <row r="530" spans="3:3" ht="15" customHeight="1">
      <c r="C530" s="523"/>
    </row>
    <row r="531" spans="3:3" ht="15" customHeight="1">
      <c r="C531" s="523"/>
    </row>
    <row r="532" spans="3:3" ht="15" customHeight="1">
      <c r="C532" s="523"/>
    </row>
    <row r="533" spans="3:3" ht="15" customHeight="1">
      <c r="C533" s="523"/>
    </row>
    <row r="534" spans="3:3" ht="15" customHeight="1">
      <c r="C534" s="523"/>
    </row>
    <row r="535" spans="3:3" ht="15" customHeight="1">
      <c r="C535" s="523"/>
    </row>
    <row r="536" spans="3:3" ht="15" customHeight="1">
      <c r="C536" s="523"/>
    </row>
    <row r="537" spans="3:3" ht="15" customHeight="1">
      <c r="C537" s="523"/>
    </row>
    <row r="538" spans="3:3" ht="15" customHeight="1">
      <c r="C538" s="523"/>
    </row>
    <row r="539" spans="3:3" ht="15" customHeight="1">
      <c r="C539" s="523"/>
    </row>
    <row r="540" spans="3:3" ht="15" customHeight="1">
      <c r="C540" s="523"/>
    </row>
    <row r="541" spans="3:3" ht="15" customHeight="1">
      <c r="C541" s="523"/>
    </row>
    <row r="542" spans="3:3" ht="15" customHeight="1">
      <c r="C542" s="523"/>
    </row>
    <row r="543" spans="3:3" ht="15" customHeight="1">
      <c r="C543" s="523"/>
    </row>
    <row r="544" spans="3:3" ht="15" customHeight="1">
      <c r="C544" s="523"/>
    </row>
    <row r="545" spans="3:3" ht="15" customHeight="1">
      <c r="C545" s="523"/>
    </row>
    <row r="546" spans="3:3" ht="15" customHeight="1">
      <c r="C546" s="523"/>
    </row>
    <row r="547" spans="3:3" ht="15" customHeight="1">
      <c r="C547" s="523"/>
    </row>
    <row r="548" spans="3:3" ht="15" customHeight="1">
      <c r="C548" s="523"/>
    </row>
    <row r="549" spans="3:3" ht="15" customHeight="1">
      <c r="C549" s="523"/>
    </row>
    <row r="550" spans="3:3" ht="15" customHeight="1">
      <c r="C550" s="523"/>
    </row>
    <row r="551" spans="3:3" ht="15" customHeight="1">
      <c r="C551" s="523"/>
    </row>
    <row r="552" spans="3:3" ht="15" customHeight="1">
      <c r="C552" s="523"/>
    </row>
    <row r="553" spans="3:3" ht="15" customHeight="1">
      <c r="C553" s="523"/>
    </row>
    <row r="554" spans="3:3" ht="15" customHeight="1">
      <c r="C554" s="523"/>
    </row>
    <row r="555" spans="3:3" ht="15" customHeight="1">
      <c r="C555" s="523"/>
    </row>
    <row r="556" spans="3:3" ht="15" customHeight="1">
      <c r="C556" s="523"/>
    </row>
    <row r="557" spans="3:3" ht="15" customHeight="1">
      <c r="C557" s="523"/>
    </row>
    <row r="558" spans="3:3" ht="15" customHeight="1">
      <c r="C558" s="523"/>
    </row>
    <row r="559" spans="3:3" ht="15" customHeight="1">
      <c r="C559" s="523"/>
    </row>
    <row r="560" spans="3:3" ht="15" customHeight="1">
      <c r="C560" s="523"/>
    </row>
    <row r="561" spans="3:3" ht="15" customHeight="1">
      <c r="C561" s="523"/>
    </row>
    <row r="562" spans="3:3" ht="15" customHeight="1">
      <c r="C562" s="523"/>
    </row>
    <row r="563" spans="3:3" ht="15" customHeight="1">
      <c r="C563" s="523"/>
    </row>
    <row r="564" spans="3:3" ht="15" customHeight="1">
      <c r="C564" s="523"/>
    </row>
    <row r="565" spans="3:3" ht="15" customHeight="1">
      <c r="C565" s="523"/>
    </row>
    <row r="566" spans="3:3" ht="15" customHeight="1">
      <c r="C566" s="523"/>
    </row>
    <row r="567" spans="3:3" ht="15" customHeight="1">
      <c r="C567" s="523"/>
    </row>
    <row r="568" spans="3:3" ht="15" customHeight="1">
      <c r="C568" s="523"/>
    </row>
    <row r="569" spans="3:3" ht="15" customHeight="1">
      <c r="C569" s="523"/>
    </row>
    <row r="570" spans="3:3" ht="15" customHeight="1">
      <c r="C570" s="523"/>
    </row>
    <row r="571" spans="3:3" ht="15" customHeight="1">
      <c r="C571" s="523"/>
    </row>
    <row r="572" spans="3:3" ht="15" customHeight="1">
      <c r="C572" s="523"/>
    </row>
    <row r="573" spans="3:3" ht="15" customHeight="1">
      <c r="C573" s="523"/>
    </row>
    <row r="574" spans="3:3" ht="15" customHeight="1">
      <c r="C574" s="523"/>
    </row>
    <row r="575" spans="3:3" ht="15" customHeight="1">
      <c r="C575" s="523"/>
    </row>
    <row r="576" spans="3:3" ht="15" customHeight="1">
      <c r="C576" s="523"/>
    </row>
    <row r="577" spans="3:3" ht="15" customHeight="1">
      <c r="C577" s="523"/>
    </row>
    <row r="578" spans="3:3" ht="15" customHeight="1">
      <c r="C578" s="523"/>
    </row>
    <row r="579" spans="3:3" ht="15" customHeight="1">
      <c r="C579" s="523"/>
    </row>
    <row r="580" spans="3:3" ht="15" customHeight="1">
      <c r="C580" s="523"/>
    </row>
    <row r="581" spans="3:3" ht="15" customHeight="1">
      <c r="C581" s="523"/>
    </row>
    <row r="582" spans="3:3" ht="15" customHeight="1">
      <c r="C582" s="523"/>
    </row>
    <row r="583" spans="3:3" ht="15" customHeight="1">
      <c r="C583" s="523"/>
    </row>
    <row r="584" spans="3:3" ht="15" customHeight="1">
      <c r="C584" s="523"/>
    </row>
    <row r="585" spans="3:3" ht="15" customHeight="1">
      <c r="C585" s="523"/>
    </row>
    <row r="586" spans="3:3" ht="15" customHeight="1">
      <c r="C586" s="523"/>
    </row>
    <row r="587" spans="3:3" ht="15" customHeight="1">
      <c r="C587" s="523"/>
    </row>
    <row r="588" spans="3:3" ht="15" customHeight="1">
      <c r="C588" s="523"/>
    </row>
    <row r="589" spans="3:3" ht="15" customHeight="1">
      <c r="C589" s="523"/>
    </row>
    <row r="590" spans="3:3" ht="15" customHeight="1">
      <c r="C590" s="523"/>
    </row>
    <row r="591" spans="3:3" ht="15" customHeight="1">
      <c r="C591" s="523"/>
    </row>
    <row r="592" spans="3:3" ht="15" customHeight="1">
      <c r="C592" s="523"/>
    </row>
    <row r="593" spans="3:3" ht="15" customHeight="1">
      <c r="C593" s="523"/>
    </row>
    <row r="594" spans="3:3" ht="15" customHeight="1">
      <c r="C594" s="523"/>
    </row>
    <row r="595" spans="3:3" ht="15" customHeight="1">
      <c r="C595" s="523"/>
    </row>
    <row r="596" spans="3:3" ht="15" customHeight="1">
      <c r="C596" s="523"/>
    </row>
    <row r="597" spans="3:3" ht="15" customHeight="1">
      <c r="C597" s="523"/>
    </row>
    <row r="598" spans="3:3" ht="15" customHeight="1">
      <c r="C598" s="523"/>
    </row>
    <row r="599" spans="3:3" ht="15" customHeight="1">
      <c r="C599" s="523"/>
    </row>
    <row r="600" spans="3:3" ht="15" customHeight="1">
      <c r="C600" s="523"/>
    </row>
    <row r="601" spans="3:3" ht="15" customHeight="1">
      <c r="C601" s="523"/>
    </row>
    <row r="602" spans="3:3" ht="15" customHeight="1">
      <c r="C602" s="523"/>
    </row>
    <row r="603" spans="3:3" ht="15" customHeight="1">
      <c r="C603" s="523"/>
    </row>
    <row r="604" spans="3:3" ht="15" customHeight="1">
      <c r="C604" s="523"/>
    </row>
    <row r="605" spans="3:3" ht="15" customHeight="1">
      <c r="C605" s="523"/>
    </row>
    <row r="606" spans="3:3" ht="15" customHeight="1">
      <c r="C606" s="523"/>
    </row>
    <row r="607" spans="3:3" ht="15" customHeight="1">
      <c r="C607" s="523"/>
    </row>
    <row r="608" spans="3:3" ht="15" customHeight="1">
      <c r="C608" s="523"/>
    </row>
    <row r="609" spans="3:3" ht="15" customHeight="1">
      <c r="C609" s="523"/>
    </row>
    <row r="610" spans="3:3" ht="15" customHeight="1">
      <c r="C610" s="523"/>
    </row>
    <row r="611" spans="3:3" ht="15" customHeight="1">
      <c r="C611" s="523"/>
    </row>
    <row r="612" spans="3:3" ht="15" customHeight="1">
      <c r="C612" s="523"/>
    </row>
    <row r="613" spans="3:3" ht="15" customHeight="1">
      <c r="C613" s="523"/>
    </row>
    <row r="614" spans="3:3" ht="15" customHeight="1">
      <c r="C614" s="523"/>
    </row>
    <row r="615" spans="3:3" ht="15" customHeight="1">
      <c r="C615" s="523"/>
    </row>
    <row r="616" spans="3:3" ht="15" customHeight="1">
      <c r="C616" s="523"/>
    </row>
    <row r="617" spans="3:3" ht="15" customHeight="1">
      <c r="C617" s="523"/>
    </row>
    <row r="618" spans="3:3" ht="15" customHeight="1">
      <c r="C618" s="523"/>
    </row>
    <row r="619" spans="3:3" ht="15" customHeight="1">
      <c r="C619" s="523"/>
    </row>
    <row r="620" spans="3:3" ht="15" customHeight="1">
      <c r="C620" s="523"/>
    </row>
    <row r="621" spans="3:3" ht="15" customHeight="1">
      <c r="C621" s="523"/>
    </row>
    <row r="622" spans="3:3" ht="15" customHeight="1">
      <c r="C622" s="523"/>
    </row>
    <row r="623" spans="3:3" ht="15" customHeight="1">
      <c r="C623" s="523"/>
    </row>
    <row r="624" spans="3:3" ht="15" customHeight="1">
      <c r="C624" s="523"/>
    </row>
    <row r="625" spans="3:3" ht="15" customHeight="1">
      <c r="C625" s="523"/>
    </row>
    <row r="626" spans="3:3" ht="15" customHeight="1">
      <c r="C626" s="523"/>
    </row>
    <row r="627" spans="3:3" ht="15" customHeight="1">
      <c r="C627" s="523"/>
    </row>
    <row r="628" spans="3:3" ht="15" customHeight="1">
      <c r="C628" s="523"/>
    </row>
    <row r="629" spans="3:3" ht="15" customHeight="1">
      <c r="C629" s="523"/>
    </row>
    <row r="630" spans="3:3" ht="15" customHeight="1">
      <c r="C630" s="523"/>
    </row>
    <row r="631" spans="3:3" ht="15" customHeight="1">
      <c r="C631" s="523"/>
    </row>
    <row r="632" spans="3:3" ht="15" customHeight="1">
      <c r="C632" s="523"/>
    </row>
    <row r="633" spans="3:3" ht="15" customHeight="1">
      <c r="C633" s="523"/>
    </row>
    <row r="634" spans="3:3" ht="15" customHeight="1">
      <c r="C634" s="523"/>
    </row>
    <row r="635" spans="3:3" ht="15" customHeight="1">
      <c r="C635" s="523"/>
    </row>
    <row r="636" spans="3:3" ht="15" customHeight="1">
      <c r="C636" s="523"/>
    </row>
    <row r="637" spans="3:3" ht="15" customHeight="1">
      <c r="C637" s="523"/>
    </row>
    <row r="638" spans="3:3" ht="15" customHeight="1">
      <c r="C638" s="523"/>
    </row>
    <row r="639" spans="3:3" ht="15" customHeight="1">
      <c r="C639" s="523"/>
    </row>
    <row r="640" spans="3:3" ht="15" customHeight="1">
      <c r="C640" s="523"/>
    </row>
    <row r="641" spans="3:3" ht="15" customHeight="1">
      <c r="C641" s="523"/>
    </row>
    <row r="642" spans="3:3" ht="15" customHeight="1">
      <c r="C642" s="523"/>
    </row>
    <row r="643" spans="3:3" ht="15" customHeight="1">
      <c r="C643" s="523"/>
    </row>
    <row r="644" spans="3:3" ht="15" customHeight="1">
      <c r="C644" s="523"/>
    </row>
    <row r="645" spans="3:3" ht="15" customHeight="1">
      <c r="C645" s="523"/>
    </row>
    <row r="646" spans="3:3" ht="15" customHeight="1">
      <c r="C646" s="523"/>
    </row>
    <row r="647" spans="3:3" ht="15" customHeight="1">
      <c r="C647" s="523"/>
    </row>
    <row r="648" spans="3:3" ht="15" customHeight="1">
      <c r="C648" s="523"/>
    </row>
    <row r="649" spans="3:3" ht="15" customHeight="1">
      <c r="C649" s="523"/>
    </row>
    <row r="650" spans="3:3" ht="15" customHeight="1">
      <c r="C650" s="523"/>
    </row>
    <row r="651" spans="3:3" ht="15" customHeight="1">
      <c r="C651" s="523"/>
    </row>
    <row r="652" spans="3:3" ht="15" customHeight="1">
      <c r="C652" s="523"/>
    </row>
    <row r="653" spans="3:3" ht="15" customHeight="1">
      <c r="C653" s="523"/>
    </row>
    <row r="654" spans="3:3" ht="15" customHeight="1">
      <c r="C654" s="523"/>
    </row>
    <row r="655" spans="3:3" ht="15" customHeight="1">
      <c r="C655" s="523"/>
    </row>
    <row r="656" spans="3:3" ht="15" customHeight="1">
      <c r="C656" s="523"/>
    </row>
    <row r="657" spans="3:3" ht="15" customHeight="1">
      <c r="C657" s="523"/>
    </row>
    <row r="658" spans="3:3" ht="15" customHeight="1">
      <c r="C658" s="523"/>
    </row>
    <row r="659" spans="3:3" ht="15" customHeight="1">
      <c r="C659" s="523"/>
    </row>
    <row r="660" spans="3:3" ht="15" customHeight="1">
      <c r="C660" s="523"/>
    </row>
    <row r="661" spans="3:3" ht="15" customHeight="1">
      <c r="C661" s="523"/>
    </row>
    <row r="662" spans="3:3" ht="15" customHeight="1">
      <c r="C662" s="523"/>
    </row>
    <row r="663" spans="3:3" ht="15" customHeight="1">
      <c r="C663" s="523"/>
    </row>
    <row r="664" spans="3:3" ht="15" customHeight="1">
      <c r="C664" s="523"/>
    </row>
    <row r="665" spans="3:3" ht="15" customHeight="1">
      <c r="C665" s="523"/>
    </row>
    <row r="666" spans="3:3" ht="15" customHeight="1">
      <c r="C666" s="523"/>
    </row>
    <row r="667" spans="3:3" ht="15" customHeight="1">
      <c r="C667" s="523"/>
    </row>
    <row r="668" spans="3:3" ht="15" customHeight="1">
      <c r="C668" s="523"/>
    </row>
    <row r="669" spans="3:3" ht="15" customHeight="1">
      <c r="C669" s="523"/>
    </row>
    <row r="670" spans="3:3" ht="15" customHeight="1">
      <c r="C670" s="523"/>
    </row>
    <row r="671" spans="3:3" ht="15" customHeight="1">
      <c r="C671" s="523"/>
    </row>
    <row r="672" spans="3:3" ht="15" customHeight="1">
      <c r="C672" s="523"/>
    </row>
    <row r="673" spans="3:3" ht="15" customHeight="1">
      <c r="C673" s="523"/>
    </row>
    <row r="674" spans="3:3" ht="15" customHeight="1">
      <c r="C674" s="523"/>
    </row>
    <row r="675" spans="3:3" ht="15" customHeight="1">
      <c r="C675" s="523"/>
    </row>
    <row r="676" spans="3:3" ht="15" customHeight="1">
      <c r="C676" s="523"/>
    </row>
    <row r="677" spans="3:3" ht="15" customHeight="1">
      <c r="C677" s="523"/>
    </row>
    <row r="678" spans="3:3" ht="15" customHeight="1">
      <c r="C678" s="523"/>
    </row>
    <row r="679" spans="3:3" ht="15" customHeight="1">
      <c r="C679" s="523"/>
    </row>
    <row r="680" spans="3:3" ht="15" customHeight="1">
      <c r="C680" s="523"/>
    </row>
    <row r="681" spans="3:3" ht="15" customHeight="1">
      <c r="C681" s="523"/>
    </row>
    <row r="682" spans="3:3" ht="15" customHeight="1">
      <c r="C682" s="523"/>
    </row>
    <row r="683" spans="3:3" ht="15" customHeight="1">
      <c r="C683" s="523"/>
    </row>
    <row r="684" spans="3:3" ht="15" customHeight="1">
      <c r="C684" s="523"/>
    </row>
    <row r="685" spans="3:3" ht="15" customHeight="1">
      <c r="C685" s="523"/>
    </row>
    <row r="686" spans="3:3" ht="15" customHeight="1">
      <c r="C686" s="523"/>
    </row>
    <row r="687" spans="3:3" ht="15" customHeight="1">
      <c r="C687" s="523"/>
    </row>
    <row r="688" spans="3:3" ht="15" customHeight="1">
      <c r="C688" s="523"/>
    </row>
    <row r="689" spans="3:3" ht="15" customHeight="1">
      <c r="C689" s="523"/>
    </row>
    <row r="690" spans="3:3" ht="15" customHeight="1">
      <c r="C690" s="523"/>
    </row>
    <row r="691" spans="3:3" ht="15" customHeight="1">
      <c r="C691" s="523"/>
    </row>
    <row r="692" spans="3:3" ht="15" customHeight="1">
      <c r="C692" s="523"/>
    </row>
    <row r="693" spans="3:3" ht="15" customHeight="1">
      <c r="C693" s="523"/>
    </row>
    <row r="694" spans="3:3" ht="15" customHeight="1">
      <c r="C694" s="523"/>
    </row>
    <row r="695" spans="3:3" ht="15" customHeight="1">
      <c r="C695" s="523"/>
    </row>
    <row r="696" spans="3:3" ht="15" customHeight="1">
      <c r="C696" s="523"/>
    </row>
    <row r="697" spans="3:3" ht="15" customHeight="1">
      <c r="C697" s="523"/>
    </row>
    <row r="698" spans="3:3" ht="15" customHeight="1">
      <c r="C698" s="523"/>
    </row>
    <row r="699" spans="3:3" ht="15" customHeight="1">
      <c r="C699" s="523"/>
    </row>
    <row r="700" spans="3:3" ht="15" customHeight="1">
      <c r="C700" s="523"/>
    </row>
    <row r="701" spans="3:3" ht="15" customHeight="1">
      <c r="C701" s="523"/>
    </row>
    <row r="702" spans="3:3" ht="15" customHeight="1">
      <c r="C702" s="523"/>
    </row>
    <row r="703" spans="3:3" ht="15" customHeight="1">
      <c r="C703" s="523"/>
    </row>
    <row r="704" spans="3:3" ht="15" customHeight="1">
      <c r="C704" s="523"/>
    </row>
    <row r="705" spans="3:3" ht="15" customHeight="1">
      <c r="C705" s="523"/>
    </row>
    <row r="706" spans="3:3" ht="15" customHeight="1">
      <c r="C706" s="523"/>
    </row>
    <row r="707" spans="3:3" ht="15" customHeight="1">
      <c r="C707" s="523"/>
    </row>
    <row r="708" spans="3:3" ht="15" customHeight="1">
      <c r="C708" s="523"/>
    </row>
    <row r="709" spans="3:3" ht="15" customHeight="1">
      <c r="C709" s="523"/>
    </row>
    <row r="710" spans="3:3" ht="15" customHeight="1">
      <c r="C710" s="523"/>
    </row>
    <row r="711" spans="3:3" ht="15" customHeight="1">
      <c r="C711" s="523"/>
    </row>
    <row r="712" spans="3:3" ht="15" customHeight="1">
      <c r="C712" s="523"/>
    </row>
    <row r="713" spans="3:3" ht="15" customHeight="1">
      <c r="C713" s="523"/>
    </row>
    <row r="714" spans="3:3" ht="15" customHeight="1">
      <c r="C714" s="523"/>
    </row>
    <row r="715" spans="3:3" ht="15" customHeight="1">
      <c r="C715" s="523"/>
    </row>
    <row r="716" spans="3:3" ht="15" customHeight="1">
      <c r="C716" s="523"/>
    </row>
    <row r="717" spans="3:3" ht="15" customHeight="1">
      <c r="C717" s="523"/>
    </row>
    <row r="718" spans="3:3" ht="15" customHeight="1">
      <c r="C718" s="523"/>
    </row>
    <row r="719" spans="3:3" ht="15" customHeight="1">
      <c r="C719" s="523"/>
    </row>
    <row r="720" spans="3:3" ht="15" customHeight="1">
      <c r="C720" s="523"/>
    </row>
    <row r="721" spans="3:3" ht="15" customHeight="1">
      <c r="C721" s="523"/>
    </row>
    <row r="722" spans="3:3" ht="15" customHeight="1">
      <c r="C722" s="523"/>
    </row>
    <row r="723" spans="3:3" ht="15" customHeight="1">
      <c r="C723" s="523"/>
    </row>
    <row r="724" spans="3:3" ht="15" customHeight="1">
      <c r="C724" s="523"/>
    </row>
    <row r="725" spans="3:3" ht="15" customHeight="1">
      <c r="C725" s="523"/>
    </row>
    <row r="726" spans="3:3" ht="15" customHeight="1">
      <c r="C726" s="523"/>
    </row>
    <row r="727" spans="3:3" ht="15" customHeight="1">
      <c r="C727" s="523"/>
    </row>
    <row r="728" spans="3:3" ht="15" customHeight="1">
      <c r="C728" s="523"/>
    </row>
    <row r="729" spans="3:3" ht="15" customHeight="1">
      <c r="C729" s="523"/>
    </row>
    <row r="730" spans="3:3" ht="15" customHeight="1">
      <c r="C730" s="523"/>
    </row>
    <row r="731" spans="3:3" ht="15" customHeight="1">
      <c r="C731" s="523"/>
    </row>
    <row r="732" spans="3:3" ht="15" customHeight="1">
      <c r="C732" s="523"/>
    </row>
    <row r="733" spans="3:3" ht="15" customHeight="1">
      <c r="C733" s="523"/>
    </row>
    <row r="734" spans="3:3" ht="15" customHeight="1">
      <c r="C734" s="523"/>
    </row>
    <row r="735" spans="3:3" ht="15" customHeight="1">
      <c r="C735" s="523"/>
    </row>
    <row r="736" spans="3:3" ht="15" customHeight="1">
      <c r="C736" s="523"/>
    </row>
    <row r="737" spans="3:3" ht="15" customHeight="1">
      <c r="C737" s="523"/>
    </row>
    <row r="738" spans="3:3" ht="15" customHeight="1">
      <c r="C738" s="523"/>
    </row>
    <row r="739" spans="3:3" ht="15" customHeight="1">
      <c r="C739" s="523"/>
    </row>
    <row r="740" spans="3:3" ht="15" customHeight="1">
      <c r="C740" s="523"/>
    </row>
    <row r="741" spans="3:3" ht="15" customHeight="1">
      <c r="C741" s="523"/>
    </row>
    <row r="742" spans="3:3" ht="15" customHeight="1">
      <c r="C742" s="523"/>
    </row>
    <row r="743" spans="3:3" ht="15" customHeight="1">
      <c r="C743" s="523"/>
    </row>
    <row r="744" spans="3:3" ht="15" customHeight="1">
      <c r="C744" s="523"/>
    </row>
    <row r="745" spans="3:3" ht="15" customHeight="1">
      <c r="C745" s="523"/>
    </row>
    <row r="746" spans="3:3" ht="15" customHeight="1">
      <c r="C746" s="523"/>
    </row>
    <row r="747" spans="3:3" ht="15" customHeight="1">
      <c r="C747" s="523"/>
    </row>
    <row r="748" spans="3:3" ht="15" customHeight="1">
      <c r="C748" s="523"/>
    </row>
    <row r="749" spans="3:3" ht="15" customHeight="1">
      <c r="C749" s="523"/>
    </row>
    <row r="750" spans="3:3" ht="15" customHeight="1">
      <c r="C750" s="523"/>
    </row>
    <row r="751" spans="3:3" ht="15" customHeight="1">
      <c r="C751" s="523"/>
    </row>
    <row r="752" spans="3:3" ht="15" customHeight="1">
      <c r="C752" s="523"/>
    </row>
    <row r="753" spans="3:3" ht="15" customHeight="1">
      <c r="C753" s="523"/>
    </row>
    <row r="754" spans="3:3" ht="15" customHeight="1">
      <c r="C754" s="523"/>
    </row>
    <row r="755" spans="3:3" ht="15" customHeight="1">
      <c r="C755" s="523"/>
    </row>
    <row r="756" spans="3:3" ht="15" customHeight="1">
      <c r="C756" s="523"/>
    </row>
    <row r="757" spans="3:3" ht="15" customHeight="1">
      <c r="C757" s="523"/>
    </row>
    <row r="758" spans="3:3" ht="15" customHeight="1">
      <c r="C758" s="523"/>
    </row>
    <row r="759" spans="3:3" ht="15" customHeight="1">
      <c r="C759" s="523"/>
    </row>
    <row r="760" spans="3:3" ht="15" customHeight="1">
      <c r="C760" s="523"/>
    </row>
    <row r="761" spans="3:3" ht="15" customHeight="1">
      <c r="C761" s="523"/>
    </row>
    <row r="762" spans="3:3" ht="15" customHeight="1">
      <c r="C762" s="523"/>
    </row>
    <row r="763" spans="3:3" ht="15" customHeight="1">
      <c r="C763" s="523"/>
    </row>
    <row r="764" spans="3:3" ht="15" customHeight="1">
      <c r="C764" s="523"/>
    </row>
    <row r="765" spans="3:3" ht="15" customHeight="1">
      <c r="C765" s="523"/>
    </row>
    <row r="766" spans="3:3" ht="15" customHeight="1">
      <c r="C766" s="523"/>
    </row>
    <row r="767" spans="3:3" ht="15" customHeight="1">
      <c r="C767" s="523"/>
    </row>
    <row r="768" spans="3:3" ht="15" customHeight="1">
      <c r="C768" s="523"/>
    </row>
    <row r="769" spans="3:3" ht="15" customHeight="1">
      <c r="C769" s="523"/>
    </row>
    <row r="770" spans="3:3" ht="15" customHeight="1">
      <c r="C770" s="523"/>
    </row>
    <row r="771" spans="3:3" ht="15" customHeight="1">
      <c r="C771" s="523"/>
    </row>
    <row r="772" spans="3:3" ht="15" customHeight="1">
      <c r="C772" s="523"/>
    </row>
    <row r="773" spans="3:3" ht="15" customHeight="1">
      <c r="C773" s="523"/>
    </row>
    <row r="774" spans="3:3" ht="15" customHeight="1">
      <c r="C774" s="523"/>
    </row>
    <row r="775" spans="3:3" ht="15" customHeight="1">
      <c r="C775" s="523"/>
    </row>
    <row r="776" spans="3:3" ht="15" customHeight="1">
      <c r="C776" s="523"/>
    </row>
    <row r="777" spans="3:3" ht="15" customHeight="1">
      <c r="C777" s="523"/>
    </row>
    <row r="778" spans="3:3" ht="15" customHeight="1">
      <c r="C778" s="523"/>
    </row>
    <row r="779" spans="3:3" ht="15" customHeight="1">
      <c r="C779" s="523"/>
    </row>
    <row r="780" spans="3:3" ht="15" customHeight="1">
      <c r="C780" s="523"/>
    </row>
    <row r="781" spans="3:3" ht="15" customHeight="1">
      <c r="C781" s="523"/>
    </row>
    <row r="782" spans="3:3" ht="15" customHeight="1">
      <c r="C782" s="523"/>
    </row>
    <row r="783" spans="3:3" ht="15" customHeight="1">
      <c r="C783" s="523"/>
    </row>
    <row r="784" spans="3:3" ht="15" customHeight="1">
      <c r="C784" s="523"/>
    </row>
    <row r="785" spans="3:3" ht="15" customHeight="1">
      <c r="C785" s="523"/>
    </row>
    <row r="786" spans="3:3" ht="15" customHeight="1">
      <c r="C786" s="523"/>
    </row>
    <row r="787" spans="3:3" ht="15" customHeight="1">
      <c r="C787" s="523"/>
    </row>
    <row r="788" spans="3:3" ht="15" customHeight="1">
      <c r="C788" s="523"/>
    </row>
    <row r="789" spans="3:3" ht="15" customHeight="1">
      <c r="C789" s="523"/>
    </row>
    <row r="790" spans="3:3" ht="15" customHeight="1">
      <c r="C790" s="523"/>
    </row>
    <row r="791" spans="3:3" ht="15" customHeight="1">
      <c r="C791" s="523"/>
    </row>
    <row r="792" spans="3:3" ht="15" customHeight="1">
      <c r="C792" s="523"/>
    </row>
    <row r="793" spans="3:3" ht="15" customHeight="1">
      <c r="C793" s="523"/>
    </row>
    <row r="794" spans="3:3" ht="15" customHeight="1">
      <c r="C794" s="523"/>
    </row>
    <row r="795" spans="3:3" ht="15" customHeight="1">
      <c r="C795" s="523"/>
    </row>
    <row r="796" spans="3:3" ht="15" customHeight="1">
      <c r="C796" s="523"/>
    </row>
    <row r="797" spans="3:3" ht="15" customHeight="1">
      <c r="C797" s="523"/>
    </row>
    <row r="798" spans="3:3" ht="15" customHeight="1">
      <c r="C798" s="523"/>
    </row>
    <row r="799" spans="3:3" ht="15" customHeight="1">
      <c r="C799" s="523"/>
    </row>
    <row r="800" spans="3:3" ht="15" customHeight="1">
      <c r="C800" s="523"/>
    </row>
    <row r="801" spans="3:3" ht="15" customHeight="1">
      <c r="C801" s="523"/>
    </row>
    <row r="802" spans="3:3" ht="15" customHeight="1">
      <c r="C802" s="523"/>
    </row>
    <row r="803" spans="3:3" ht="15" customHeight="1">
      <c r="C803" s="523"/>
    </row>
    <row r="804" spans="3:3" ht="15" customHeight="1">
      <c r="C804" s="523"/>
    </row>
    <row r="805" spans="3:3" ht="15" customHeight="1">
      <c r="C805" s="523"/>
    </row>
    <row r="806" spans="3:3" ht="15" customHeight="1">
      <c r="C806" s="523"/>
    </row>
    <row r="807" spans="3:3" ht="15" customHeight="1">
      <c r="C807" s="523"/>
    </row>
    <row r="808" spans="3:3" ht="15" customHeight="1">
      <c r="C808" s="523"/>
    </row>
    <row r="809" spans="3:3" ht="15" customHeight="1">
      <c r="C809" s="523"/>
    </row>
    <row r="810" spans="3:3" ht="15" customHeight="1">
      <c r="C810" s="523"/>
    </row>
    <row r="811" spans="3:3" ht="15" customHeight="1">
      <c r="C811" s="523"/>
    </row>
    <row r="812" spans="3:3" ht="15" customHeight="1">
      <c r="C812" s="523"/>
    </row>
    <row r="813" spans="3:3" ht="15" customHeight="1">
      <c r="C813" s="523"/>
    </row>
    <row r="814" spans="3:3" ht="15" customHeight="1">
      <c r="C814" s="523"/>
    </row>
    <row r="815" spans="3:3" ht="15" customHeight="1">
      <c r="C815" s="523"/>
    </row>
    <row r="816" spans="3:3" ht="15" customHeight="1">
      <c r="C816" s="523"/>
    </row>
    <row r="817" spans="3:3" ht="15" customHeight="1">
      <c r="C817" s="523"/>
    </row>
    <row r="818" spans="3:3" ht="15" customHeight="1">
      <c r="C818" s="523"/>
    </row>
    <row r="819" spans="3:3" ht="15" customHeight="1">
      <c r="C819" s="523"/>
    </row>
    <row r="820" spans="3:3" ht="15" customHeight="1">
      <c r="C820" s="523"/>
    </row>
    <row r="821" spans="3:3" ht="15" customHeight="1">
      <c r="C821" s="523"/>
    </row>
    <row r="822" spans="3:3" ht="15" customHeight="1">
      <c r="C822" s="523"/>
    </row>
    <row r="823" spans="3:3" ht="15" customHeight="1">
      <c r="C823" s="523"/>
    </row>
    <row r="824" spans="3:3" ht="15" customHeight="1">
      <c r="C824" s="523"/>
    </row>
    <row r="825" spans="3:3" ht="15" customHeight="1">
      <c r="C825" s="523"/>
    </row>
    <row r="826" spans="3:3" ht="15" customHeight="1">
      <c r="C826" s="523"/>
    </row>
    <row r="827" spans="3:3" ht="15" customHeight="1">
      <c r="C827" s="523"/>
    </row>
    <row r="828" spans="3:3" ht="15" customHeight="1">
      <c r="C828" s="523"/>
    </row>
    <row r="829" spans="3:3" ht="15" customHeight="1">
      <c r="C829" s="523"/>
    </row>
    <row r="830" spans="3:3" ht="15" customHeight="1">
      <c r="C830" s="523"/>
    </row>
    <row r="831" spans="3:3" ht="15" customHeight="1">
      <c r="C831" s="523"/>
    </row>
    <row r="832" spans="3:3" ht="15" customHeight="1">
      <c r="C832" s="523"/>
    </row>
    <row r="833" spans="3:3" ht="15" customHeight="1">
      <c r="C833" s="523"/>
    </row>
    <row r="834" spans="3:3" ht="15" customHeight="1">
      <c r="C834" s="523"/>
    </row>
    <row r="835" spans="3:3" ht="15" customHeight="1">
      <c r="C835" s="523"/>
    </row>
    <row r="836" spans="3:3" ht="15" customHeight="1">
      <c r="C836" s="523"/>
    </row>
    <row r="837" spans="3:3" ht="15" customHeight="1">
      <c r="C837" s="523"/>
    </row>
    <row r="838" spans="3:3" ht="15" customHeight="1">
      <c r="C838" s="523"/>
    </row>
    <row r="839" spans="3:3" ht="15" customHeight="1">
      <c r="C839" s="523"/>
    </row>
    <row r="840" spans="3:3" ht="15" customHeight="1">
      <c r="C840" s="523"/>
    </row>
    <row r="841" spans="3:3" ht="15" customHeight="1">
      <c r="C841" s="523"/>
    </row>
    <row r="842" spans="3:3" ht="15" customHeight="1">
      <c r="C842" s="523"/>
    </row>
    <row r="843" spans="3:3" ht="15" customHeight="1">
      <c r="C843" s="523"/>
    </row>
    <row r="844" spans="3:3" ht="15" customHeight="1">
      <c r="C844" s="523"/>
    </row>
    <row r="845" spans="3:3" ht="15" customHeight="1">
      <c r="C845" s="523"/>
    </row>
    <row r="846" spans="3:3" ht="15" customHeight="1">
      <c r="C846" s="523"/>
    </row>
    <row r="847" spans="3:3" ht="15" customHeight="1">
      <c r="C847" s="523"/>
    </row>
    <row r="848" spans="3:3" ht="15" customHeight="1">
      <c r="C848" s="523"/>
    </row>
    <row r="849" spans="3:3" ht="15" customHeight="1">
      <c r="C849" s="523"/>
    </row>
    <row r="850" spans="3:3" ht="15" customHeight="1">
      <c r="C850" s="523"/>
    </row>
    <row r="851" spans="3:3" ht="15" customHeight="1">
      <c r="C851" s="523"/>
    </row>
    <row r="852" spans="3:3" ht="15" customHeight="1">
      <c r="C852" s="523"/>
    </row>
    <row r="853" spans="3:3" ht="15" customHeight="1">
      <c r="C853" s="523"/>
    </row>
    <row r="854" spans="3:3" ht="15" customHeight="1">
      <c r="C854" s="523"/>
    </row>
    <row r="855" spans="3:3" ht="15" customHeight="1">
      <c r="C855" s="523"/>
    </row>
    <row r="856" spans="3:3" ht="15" customHeight="1">
      <c r="C856" s="523"/>
    </row>
    <row r="857" spans="3:3" ht="15" customHeight="1">
      <c r="C857" s="523"/>
    </row>
    <row r="858" spans="3:3" ht="15" customHeight="1">
      <c r="C858" s="523"/>
    </row>
    <row r="859" spans="3:3" ht="15" customHeight="1">
      <c r="C859" s="523"/>
    </row>
    <row r="860" spans="3:3" ht="15" customHeight="1">
      <c r="C860" s="523"/>
    </row>
    <row r="861" spans="3:3" ht="15" customHeight="1">
      <c r="C861" s="523"/>
    </row>
    <row r="862" spans="3:3" ht="15" customHeight="1">
      <c r="C862" s="523"/>
    </row>
    <row r="863" spans="3:3" ht="15" customHeight="1">
      <c r="C863" s="523"/>
    </row>
    <row r="864" spans="3:3" ht="15" customHeight="1">
      <c r="C864" s="523"/>
    </row>
    <row r="865" spans="3:3" ht="15" customHeight="1">
      <c r="C865" s="523"/>
    </row>
    <row r="866" spans="3:3" ht="15" customHeight="1">
      <c r="C866" s="523"/>
    </row>
    <row r="867" spans="3:3" ht="15" customHeight="1">
      <c r="C867" s="523"/>
    </row>
    <row r="868" spans="3:3" ht="15" customHeight="1">
      <c r="C868" s="523"/>
    </row>
    <row r="869" spans="3:3" ht="15" customHeight="1">
      <c r="C869" s="523"/>
    </row>
    <row r="870" spans="3:3" ht="15" customHeight="1">
      <c r="C870" s="523"/>
    </row>
    <row r="871" spans="3:3" ht="15" customHeight="1">
      <c r="C871" s="523"/>
    </row>
    <row r="872" spans="3:3" ht="15" customHeight="1">
      <c r="C872" s="523"/>
    </row>
    <row r="873" spans="3:3" ht="15" customHeight="1">
      <c r="C873" s="523"/>
    </row>
    <row r="874" spans="3:3" ht="15" customHeight="1">
      <c r="C874" s="523"/>
    </row>
    <row r="875" spans="3:3" ht="15" customHeight="1">
      <c r="C875" s="523"/>
    </row>
    <row r="876" spans="3:3" ht="15" customHeight="1">
      <c r="C876" s="523"/>
    </row>
    <row r="877" spans="3:3" ht="15" customHeight="1">
      <c r="C877" s="523"/>
    </row>
    <row r="878" spans="3:3" ht="15" customHeight="1">
      <c r="C878" s="523"/>
    </row>
    <row r="879" spans="3:3" ht="15" customHeight="1">
      <c r="C879" s="523"/>
    </row>
    <row r="880" spans="3:3" ht="15" customHeight="1">
      <c r="C880" s="523"/>
    </row>
    <row r="881" spans="3:3" ht="15" customHeight="1">
      <c r="C881" s="523"/>
    </row>
    <row r="882" spans="3:3" ht="15" customHeight="1">
      <c r="C882" s="523"/>
    </row>
    <row r="883" spans="3:3" ht="15" customHeight="1">
      <c r="C883" s="523"/>
    </row>
    <row r="884" spans="3:3" ht="15" customHeight="1">
      <c r="C884" s="523"/>
    </row>
    <row r="885" spans="3:3" ht="15" customHeight="1">
      <c r="C885" s="523"/>
    </row>
    <row r="886" spans="3:3" ht="15" customHeight="1">
      <c r="C886" s="523"/>
    </row>
    <row r="887" spans="3:3" ht="15" customHeight="1">
      <c r="C887" s="523"/>
    </row>
    <row r="888" spans="3:3" ht="15" customHeight="1">
      <c r="C888" s="523"/>
    </row>
    <row r="889" spans="3:3" ht="15" customHeight="1">
      <c r="C889" s="523"/>
    </row>
    <row r="890" spans="3:3" ht="15" customHeight="1">
      <c r="C890" s="523"/>
    </row>
    <row r="891" spans="3:3" ht="15" customHeight="1">
      <c r="C891" s="523"/>
    </row>
    <row r="892" spans="3:3" ht="15" customHeight="1">
      <c r="C892" s="523"/>
    </row>
    <row r="893" spans="3:3" ht="15" customHeight="1">
      <c r="C893" s="523"/>
    </row>
    <row r="894" spans="3:3" ht="15" customHeight="1">
      <c r="C894" s="523"/>
    </row>
    <row r="895" spans="3:3" ht="15" customHeight="1">
      <c r="C895" s="523"/>
    </row>
    <row r="896" spans="3:3" ht="15" customHeight="1">
      <c r="C896" s="523"/>
    </row>
    <row r="897" spans="3:3" ht="15" customHeight="1">
      <c r="C897" s="523"/>
    </row>
    <row r="898" spans="3:3" ht="15" customHeight="1">
      <c r="C898" s="523"/>
    </row>
    <row r="899" spans="3:3" ht="15" customHeight="1">
      <c r="C899" s="523"/>
    </row>
    <row r="900" spans="3:3" ht="15" customHeight="1">
      <c r="C900" s="523"/>
    </row>
    <row r="901" spans="3:3" ht="15" customHeight="1">
      <c r="C901" s="523"/>
    </row>
    <row r="902" spans="3:3" ht="15" customHeight="1">
      <c r="C902" s="523"/>
    </row>
    <row r="903" spans="3:3" ht="15" customHeight="1">
      <c r="C903" s="523"/>
    </row>
    <row r="904" spans="3:3" ht="15" customHeight="1">
      <c r="C904" s="523"/>
    </row>
    <row r="905" spans="3:3" ht="15" customHeight="1">
      <c r="C905" s="523"/>
    </row>
    <row r="906" spans="3:3" ht="15" customHeight="1">
      <c r="C906" s="523"/>
    </row>
    <row r="907" spans="3:3" ht="15" customHeight="1">
      <c r="C907" s="523"/>
    </row>
    <row r="908" spans="3:3" ht="15" customHeight="1">
      <c r="C908" s="523"/>
    </row>
    <row r="909" spans="3:3" ht="15" customHeight="1">
      <c r="C909" s="523"/>
    </row>
    <row r="910" spans="3:3" ht="15" customHeight="1">
      <c r="C910" s="523"/>
    </row>
    <row r="911" spans="3:3" ht="15" customHeight="1">
      <c r="C911" s="523"/>
    </row>
    <row r="912" spans="3:3" ht="15" customHeight="1">
      <c r="C912" s="523"/>
    </row>
    <row r="913" spans="3:3" ht="15" customHeight="1">
      <c r="C913" s="523"/>
    </row>
    <row r="914" spans="3:3" ht="15" customHeight="1">
      <c r="C914" s="523"/>
    </row>
    <row r="915" spans="3:3" ht="15" customHeight="1">
      <c r="C915" s="523"/>
    </row>
    <row r="916" spans="3:3" ht="15" customHeight="1">
      <c r="C916" s="523"/>
    </row>
    <row r="917" spans="3:3" ht="15" customHeight="1">
      <c r="C917" s="523"/>
    </row>
    <row r="918" spans="3:3" ht="15" customHeight="1">
      <c r="C918" s="523"/>
    </row>
    <row r="919" spans="3:3" ht="15" customHeight="1">
      <c r="C919" s="523"/>
    </row>
    <row r="920" spans="3:3" ht="15" customHeight="1">
      <c r="C920" s="523"/>
    </row>
    <row r="921" spans="3:3" ht="15" customHeight="1">
      <c r="C921" s="523"/>
    </row>
    <row r="922" spans="3:3" ht="15" customHeight="1">
      <c r="C922" s="523"/>
    </row>
    <row r="923" spans="3:3" ht="15" customHeight="1">
      <c r="C923" s="523"/>
    </row>
    <row r="924" spans="3:3" ht="15" customHeight="1">
      <c r="C924" s="523"/>
    </row>
    <row r="925" spans="3:3" ht="15" customHeight="1">
      <c r="C925" s="523"/>
    </row>
    <row r="926" spans="3:3" ht="15" customHeight="1">
      <c r="C926" s="523"/>
    </row>
    <row r="927" spans="3:3" ht="15" customHeight="1">
      <c r="C927" s="523"/>
    </row>
    <row r="928" spans="3:3" ht="15" customHeight="1">
      <c r="C928" s="523"/>
    </row>
    <row r="929" spans="3:3" ht="15" customHeight="1">
      <c r="C929" s="523"/>
    </row>
    <row r="930" spans="3:3" ht="15" customHeight="1">
      <c r="C930" s="523"/>
    </row>
    <row r="931" spans="3:3" ht="15" customHeight="1">
      <c r="C931" s="523"/>
    </row>
    <row r="932" spans="3:3" ht="15" customHeight="1">
      <c r="C932" s="523"/>
    </row>
  </sheetData>
  <mergeCells count="6">
    <mergeCell ref="B2:K2"/>
    <mergeCell ref="B3:K3"/>
    <mergeCell ref="B4:K4"/>
    <mergeCell ref="B6:K6"/>
    <mergeCell ref="B15:K15"/>
    <mergeCell ref="B9:K9"/>
  </mergeCells>
  <hyperlinks>
    <hyperlink ref="A1" location="'TABLE OF CONTENTS'!A1" display="INDEX" xr:uid="{5B9DF5F9-42D2-47ED-9D36-EC2189D87253}"/>
  </hyperlinks>
  <pageMargins left="0.7" right="0.7" top="0.75" bottom="0.75" header="0.3" footer="0.3"/>
  <pageSetup orientation="landscape" r:id="rId1"/>
  <rowBreaks count="2" manualBreakCount="2">
    <brk id="30" min="1" max="10" man="1"/>
    <brk id="62" min="1" max="10"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835B3-069A-4616-AD0E-E77885FB5E75}">
  <sheetPr codeName="Sheet1">
    <tabColor rgb="FF00B050"/>
  </sheetPr>
  <dimension ref="A1:J126"/>
  <sheetViews>
    <sheetView workbookViewId="0"/>
  </sheetViews>
  <sheetFormatPr defaultRowHeight="12.75"/>
  <cols>
    <col min="2" max="2" width="7.42578125" bestFit="1" customWidth="1"/>
    <col min="3" max="3" width="81.140625" bestFit="1" customWidth="1"/>
    <col min="4" max="4" width="10.85546875" bestFit="1" customWidth="1"/>
    <col min="5" max="9" width="11.85546875" bestFit="1" customWidth="1"/>
  </cols>
  <sheetData>
    <row r="1" spans="1:10">
      <c r="A1" s="59" t="s">
        <v>1650</v>
      </c>
      <c r="B1" s="196"/>
      <c r="C1" s="196" t="str">
        <f>B4</f>
        <v>GENERAL LEDGER TRAIL BALANCE BY FSLINE</v>
      </c>
      <c r="D1" s="518"/>
      <c r="E1" s="518"/>
      <c r="F1" s="518"/>
      <c r="G1" s="519"/>
      <c r="H1" s="519"/>
    </row>
    <row r="2" spans="1:10">
      <c r="A2" s="520"/>
      <c r="B2" s="1288" t="str">
        <f>UPPER(COA!B2)</f>
        <v>ANONYMOUS COMPANY</v>
      </c>
      <c r="C2" s="1288"/>
      <c r="D2" s="1288"/>
      <c r="E2" s="1288"/>
      <c r="F2" s="1288"/>
      <c r="G2" s="1288"/>
      <c r="H2" s="1288"/>
      <c r="I2" s="1288"/>
      <c r="J2" s="290" t="s">
        <v>1048</v>
      </c>
    </row>
    <row r="3" spans="1:10">
      <c r="A3" s="520"/>
      <c r="B3" s="1289" t="str">
        <f>"FOR THE YEAR ENDED "&amp;UPPER(TEXT(COA!$B$4,"MMMM DD, YYYY"))</f>
        <v>FOR THE YEAR ENDED DECEMBER 31, 2025</v>
      </c>
      <c r="C3" s="1289"/>
      <c r="D3" s="1289"/>
      <c r="E3" s="1289"/>
      <c r="F3" s="1289"/>
      <c r="G3" s="1289"/>
      <c r="H3" s="1289"/>
      <c r="I3" s="1289"/>
      <c r="J3" s="519"/>
    </row>
    <row r="4" spans="1:10">
      <c r="A4" s="520"/>
      <c r="B4" s="1290" t="s">
        <v>1389</v>
      </c>
      <c r="C4" s="1290"/>
      <c r="D4" s="1290"/>
      <c r="E4" s="1290"/>
      <c r="F4" s="1290"/>
      <c r="G4" s="1290"/>
      <c r="H4" s="1290"/>
      <c r="I4" s="1290"/>
      <c r="J4" s="519"/>
    </row>
    <row r="5" spans="1:10" ht="13.5" thickBot="1">
      <c r="A5" s="520"/>
      <c r="B5" s="228"/>
      <c r="C5" s="521"/>
      <c r="D5" s="521"/>
      <c r="E5" s="521"/>
      <c r="F5" s="521"/>
      <c r="G5" s="522"/>
      <c r="H5" s="228"/>
      <c r="I5" s="522"/>
      <c r="J5" s="519"/>
    </row>
    <row r="6" spans="1:10" ht="37.5" customHeight="1" thickBot="1">
      <c r="A6" s="520"/>
      <c r="B6" s="1291" t="s">
        <v>1388</v>
      </c>
      <c r="C6" s="1291"/>
      <c r="D6" s="1291"/>
      <c r="E6" s="1291"/>
      <c r="F6" s="1291"/>
      <c r="G6" s="1291"/>
      <c r="H6" s="1291"/>
      <c r="I6" s="1291"/>
      <c r="J6" s="519"/>
    </row>
    <row r="7" spans="1:10">
      <c r="A7" s="520"/>
      <c r="B7" s="519" t="s">
        <v>0</v>
      </c>
      <c r="C7" s="519"/>
      <c r="D7" s="519"/>
      <c r="E7" s="519"/>
      <c r="F7" s="519"/>
      <c r="G7" s="519"/>
      <c r="H7" s="519"/>
      <c r="I7" s="519"/>
      <c r="J7" s="519"/>
    </row>
    <row r="8" spans="1:10">
      <c r="B8" t="s">
        <v>671</v>
      </c>
      <c r="C8" t="s">
        <v>129</v>
      </c>
      <c r="D8" t="s">
        <v>605</v>
      </c>
      <c r="E8" t="s">
        <v>606</v>
      </c>
      <c r="F8" t="s">
        <v>607</v>
      </c>
      <c r="G8" t="s">
        <v>608</v>
      </c>
      <c r="H8" t="s">
        <v>609</v>
      </c>
      <c r="I8" t="s">
        <v>610</v>
      </c>
    </row>
    <row r="9" spans="1:10">
      <c r="B9" t="s">
        <v>611</v>
      </c>
      <c r="C9" t="s">
        <v>110</v>
      </c>
      <c r="D9">
        <v>0</v>
      </c>
      <c r="E9">
        <v>0</v>
      </c>
    </row>
    <row r="10" spans="1:10">
      <c r="B10" t="s">
        <v>547</v>
      </c>
      <c r="C10" t="s">
        <v>111</v>
      </c>
      <c r="D10">
        <v>77184</v>
      </c>
      <c r="E10">
        <v>509493</v>
      </c>
      <c r="F10">
        <v>408632</v>
      </c>
      <c r="G10">
        <v>219150</v>
      </c>
      <c r="H10">
        <v>152840</v>
      </c>
      <c r="I10">
        <v>0</v>
      </c>
    </row>
    <row r="11" spans="1:10">
      <c r="B11" t="s">
        <v>548</v>
      </c>
      <c r="C11" t="s">
        <v>134</v>
      </c>
      <c r="D11">
        <v>136668</v>
      </c>
      <c r="E11">
        <v>119850</v>
      </c>
      <c r="F11">
        <v>0</v>
      </c>
      <c r="G11">
        <v>0</v>
      </c>
      <c r="H11">
        <v>130959</v>
      </c>
      <c r="I11">
        <v>0</v>
      </c>
    </row>
    <row r="12" spans="1:10">
      <c r="B12" t="s">
        <v>549</v>
      </c>
      <c r="C12" t="s">
        <v>112</v>
      </c>
      <c r="D12">
        <v>53399</v>
      </c>
      <c r="E12">
        <v>14544</v>
      </c>
      <c r="F12">
        <v>9706</v>
      </c>
      <c r="G12">
        <v>5159</v>
      </c>
      <c r="H12">
        <v>14015</v>
      </c>
      <c r="I12">
        <v>0</v>
      </c>
    </row>
    <row r="13" spans="1:10">
      <c r="B13" t="s">
        <v>502</v>
      </c>
      <c r="C13" t="s">
        <v>503</v>
      </c>
      <c r="D13">
        <v>0</v>
      </c>
      <c r="E13">
        <v>0</v>
      </c>
      <c r="F13">
        <v>0</v>
      </c>
      <c r="G13">
        <v>0</v>
      </c>
      <c r="H13">
        <v>0</v>
      </c>
      <c r="I13">
        <v>0</v>
      </c>
    </row>
    <row r="14" spans="1:10">
      <c r="B14" t="s">
        <v>382</v>
      </c>
      <c r="C14" t="s">
        <v>1216</v>
      </c>
      <c r="D14">
        <v>38350</v>
      </c>
      <c r="E14">
        <v>49573</v>
      </c>
      <c r="F14">
        <v>39575</v>
      </c>
      <c r="G14">
        <v>39575</v>
      </c>
      <c r="H14">
        <v>35717</v>
      </c>
      <c r="I14">
        <v>0</v>
      </c>
    </row>
    <row r="15" spans="1:10">
      <c r="B15" t="s">
        <v>1143</v>
      </c>
      <c r="C15" t="s">
        <v>1218</v>
      </c>
      <c r="D15">
        <v>9932</v>
      </c>
      <c r="E15">
        <v>9433</v>
      </c>
      <c r="F15">
        <v>8216</v>
      </c>
      <c r="G15">
        <v>29115</v>
      </c>
      <c r="H15">
        <v>32580</v>
      </c>
      <c r="I15">
        <v>0</v>
      </c>
    </row>
    <row r="16" spans="1:10">
      <c r="B16" t="s">
        <v>612</v>
      </c>
      <c r="C16" t="s">
        <v>264</v>
      </c>
      <c r="D16">
        <v>0</v>
      </c>
      <c r="E16">
        <v>0</v>
      </c>
      <c r="F16">
        <v>0</v>
      </c>
      <c r="G16">
        <v>0</v>
      </c>
      <c r="H16">
        <v>0</v>
      </c>
      <c r="I16">
        <v>0</v>
      </c>
    </row>
    <row r="17" spans="2:9">
      <c r="B17" t="s">
        <v>388</v>
      </c>
      <c r="C17" t="s">
        <v>61</v>
      </c>
      <c r="D17">
        <v>0</v>
      </c>
      <c r="E17">
        <v>0</v>
      </c>
      <c r="F17">
        <v>0</v>
      </c>
      <c r="G17">
        <v>0</v>
      </c>
      <c r="H17">
        <v>0</v>
      </c>
      <c r="I17">
        <v>0</v>
      </c>
    </row>
    <row r="18" spans="2:9">
      <c r="B18" t="s">
        <v>389</v>
      </c>
      <c r="C18" t="s">
        <v>63</v>
      </c>
      <c r="D18">
        <v>0</v>
      </c>
      <c r="E18">
        <v>0</v>
      </c>
      <c r="F18">
        <v>0</v>
      </c>
      <c r="G18">
        <v>0</v>
      </c>
      <c r="H18">
        <v>0</v>
      </c>
      <c r="I18">
        <v>0</v>
      </c>
    </row>
    <row r="19" spans="2:9">
      <c r="B19" t="s">
        <v>390</v>
      </c>
      <c r="C19" t="s">
        <v>288</v>
      </c>
      <c r="D19">
        <v>0</v>
      </c>
      <c r="E19">
        <v>0</v>
      </c>
      <c r="F19">
        <v>0</v>
      </c>
      <c r="G19">
        <v>0</v>
      </c>
      <c r="H19">
        <v>0</v>
      </c>
      <c r="I19">
        <v>0</v>
      </c>
    </row>
    <row r="20" spans="2:9">
      <c r="B20" t="s">
        <v>397</v>
      </c>
      <c r="C20" t="s">
        <v>69</v>
      </c>
      <c r="D20">
        <v>0</v>
      </c>
      <c r="E20">
        <v>0</v>
      </c>
      <c r="F20">
        <v>0</v>
      </c>
      <c r="G20">
        <v>0</v>
      </c>
      <c r="H20">
        <v>0</v>
      </c>
      <c r="I20">
        <v>0</v>
      </c>
    </row>
    <row r="21" spans="2:9">
      <c r="B21" t="s">
        <v>399</v>
      </c>
      <c r="C21" t="s">
        <v>289</v>
      </c>
      <c r="D21">
        <v>0</v>
      </c>
      <c r="E21">
        <v>0</v>
      </c>
      <c r="F21">
        <v>0</v>
      </c>
      <c r="G21">
        <v>0</v>
      </c>
      <c r="H21">
        <v>0</v>
      </c>
      <c r="I21">
        <v>0</v>
      </c>
    </row>
    <row r="22" spans="2:9">
      <c r="B22" t="s">
        <v>551</v>
      </c>
      <c r="C22" t="s">
        <v>596</v>
      </c>
      <c r="D22">
        <v>32594</v>
      </c>
      <c r="E22">
        <v>62299</v>
      </c>
      <c r="F22">
        <v>62299</v>
      </c>
      <c r="G22">
        <v>62299</v>
      </c>
      <c r="H22">
        <v>62299</v>
      </c>
      <c r="I22">
        <v>0</v>
      </c>
    </row>
    <row r="23" spans="2:9">
      <c r="B23" t="s">
        <v>552</v>
      </c>
      <c r="C23" t="s">
        <v>1425</v>
      </c>
      <c r="D23">
        <v>-29117</v>
      </c>
      <c r="E23">
        <v>-39657</v>
      </c>
      <c r="F23">
        <v>-32531</v>
      </c>
      <c r="G23">
        <v>-25231</v>
      </c>
      <c r="H23">
        <v>-9345</v>
      </c>
      <c r="I23">
        <v>0</v>
      </c>
    </row>
    <row r="24" spans="2:9">
      <c r="B24" t="s">
        <v>394</v>
      </c>
      <c r="C24" t="s">
        <v>70</v>
      </c>
      <c r="D24">
        <v>88952</v>
      </c>
      <c r="E24">
        <v>74885</v>
      </c>
      <c r="F24">
        <v>69658</v>
      </c>
      <c r="G24">
        <v>36535</v>
      </c>
      <c r="H24">
        <v>29697</v>
      </c>
      <c r="I24">
        <v>0</v>
      </c>
    </row>
    <row r="25" spans="2:9">
      <c r="B25" t="s">
        <v>395</v>
      </c>
      <c r="C25" t="s">
        <v>290</v>
      </c>
      <c r="D25">
        <v>-63487</v>
      </c>
      <c r="E25">
        <v>-55587</v>
      </c>
      <c r="F25">
        <v>-37525</v>
      </c>
      <c r="G25">
        <v>-19701</v>
      </c>
      <c r="H25">
        <v>-1939</v>
      </c>
      <c r="I25">
        <v>0</v>
      </c>
    </row>
    <row r="26" spans="2:9">
      <c r="B26" t="s">
        <v>391</v>
      </c>
      <c r="C26" t="s">
        <v>291</v>
      </c>
      <c r="D26">
        <v>907431</v>
      </c>
      <c r="E26">
        <v>847988</v>
      </c>
      <c r="F26">
        <v>991494</v>
      </c>
      <c r="G26">
        <v>944907</v>
      </c>
      <c r="H26">
        <v>966587</v>
      </c>
      <c r="I26">
        <v>0</v>
      </c>
    </row>
    <row r="27" spans="2:9">
      <c r="B27" t="s">
        <v>392</v>
      </c>
      <c r="C27" t="s">
        <v>292</v>
      </c>
      <c r="D27">
        <v>-637006</v>
      </c>
      <c r="E27">
        <v>-576830</v>
      </c>
      <c r="F27">
        <v>-467852</v>
      </c>
      <c r="G27">
        <v>-439901</v>
      </c>
      <c r="H27">
        <v>-521635</v>
      </c>
      <c r="I27">
        <v>0</v>
      </c>
    </row>
    <row r="28" spans="2:9">
      <c r="B28" t="s">
        <v>1144</v>
      </c>
      <c r="C28" t="s">
        <v>1480</v>
      </c>
      <c r="D28">
        <v>874942</v>
      </c>
      <c r="E28">
        <v>874942</v>
      </c>
      <c r="F28">
        <v>898931</v>
      </c>
      <c r="G28">
        <v>773785</v>
      </c>
      <c r="H28">
        <v>586448</v>
      </c>
      <c r="I28">
        <v>0</v>
      </c>
    </row>
    <row r="29" spans="2:9">
      <c r="B29" t="s">
        <v>1145</v>
      </c>
      <c r="C29" t="s">
        <v>1482</v>
      </c>
      <c r="D29">
        <v>-503688</v>
      </c>
      <c r="E29">
        <v>-410875</v>
      </c>
      <c r="F29">
        <v>-342576</v>
      </c>
      <c r="G29">
        <v>-233929</v>
      </c>
      <c r="H29">
        <v>-177490</v>
      </c>
      <c r="I29">
        <v>0</v>
      </c>
    </row>
    <row r="30" spans="2:9">
      <c r="B30" t="s">
        <v>1146</v>
      </c>
      <c r="C30" t="s">
        <v>1147</v>
      </c>
      <c r="D30">
        <v>0</v>
      </c>
      <c r="E30">
        <v>0</v>
      </c>
      <c r="F30">
        <v>0</v>
      </c>
      <c r="G30">
        <v>0</v>
      </c>
      <c r="H30">
        <v>0</v>
      </c>
      <c r="I30">
        <v>0</v>
      </c>
    </row>
    <row r="31" spans="2:9">
      <c r="B31" t="s">
        <v>1148</v>
      </c>
      <c r="C31" t="s">
        <v>1220</v>
      </c>
      <c r="D31">
        <v>0</v>
      </c>
      <c r="E31">
        <v>0</v>
      </c>
      <c r="F31">
        <v>0</v>
      </c>
      <c r="G31">
        <v>0</v>
      </c>
      <c r="H31">
        <v>0</v>
      </c>
      <c r="I31">
        <v>0</v>
      </c>
    </row>
    <row r="32" spans="2:9">
      <c r="B32" t="s">
        <v>1149</v>
      </c>
      <c r="C32" t="s">
        <v>1366</v>
      </c>
      <c r="D32">
        <v>62250</v>
      </c>
      <c r="E32">
        <v>62250</v>
      </c>
      <c r="F32">
        <v>62250</v>
      </c>
      <c r="G32">
        <v>60915</v>
      </c>
      <c r="H32">
        <v>60915</v>
      </c>
      <c r="I32">
        <v>0</v>
      </c>
    </row>
    <row r="33" spans="2:9">
      <c r="B33" t="s">
        <v>1150</v>
      </c>
      <c r="C33" t="s">
        <v>1367</v>
      </c>
      <c r="D33">
        <v>-47550</v>
      </c>
      <c r="E33">
        <v>-43875</v>
      </c>
      <c r="F33">
        <v>-37852</v>
      </c>
      <c r="G33">
        <v>-34738</v>
      </c>
      <c r="H33">
        <v>-31692</v>
      </c>
      <c r="I33">
        <v>0</v>
      </c>
    </row>
    <row r="34" spans="2:9">
      <c r="B34" t="s">
        <v>1151</v>
      </c>
      <c r="C34" t="s">
        <v>1223</v>
      </c>
      <c r="D34">
        <v>87341</v>
      </c>
      <c r="E34">
        <v>89801</v>
      </c>
      <c r="F34">
        <v>48743</v>
      </c>
      <c r="G34">
        <v>39434</v>
      </c>
      <c r="H34">
        <v>18605</v>
      </c>
      <c r="I34">
        <v>0</v>
      </c>
    </row>
    <row r="35" spans="2:9">
      <c r="B35" t="s">
        <v>613</v>
      </c>
      <c r="C35" t="s">
        <v>497</v>
      </c>
      <c r="D35">
        <v>0</v>
      </c>
      <c r="E35">
        <v>0</v>
      </c>
      <c r="F35">
        <v>0</v>
      </c>
      <c r="G35">
        <v>0</v>
      </c>
      <c r="H35">
        <v>0</v>
      </c>
      <c r="I35">
        <v>0</v>
      </c>
    </row>
    <row r="36" spans="2:9">
      <c r="B36" t="s">
        <v>553</v>
      </c>
      <c r="C36" t="s">
        <v>137</v>
      </c>
      <c r="D36">
        <v>-248448</v>
      </c>
      <c r="E36">
        <v>-142977</v>
      </c>
      <c r="F36">
        <v>-211776</v>
      </c>
      <c r="G36">
        <v>-167437</v>
      </c>
      <c r="H36">
        <v>-244214</v>
      </c>
      <c r="I36">
        <v>0</v>
      </c>
    </row>
    <row r="37" spans="2:9">
      <c r="B37" t="s">
        <v>554</v>
      </c>
      <c r="C37" t="s">
        <v>334</v>
      </c>
      <c r="D37">
        <v>-2667</v>
      </c>
      <c r="E37">
        <v>0</v>
      </c>
      <c r="F37">
        <v>0</v>
      </c>
      <c r="G37">
        <v>0</v>
      </c>
      <c r="H37">
        <v>0</v>
      </c>
      <c r="I37">
        <v>0</v>
      </c>
    </row>
    <row r="38" spans="2:9">
      <c r="B38" t="s">
        <v>555</v>
      </c>
      <c r="C38" t="s">
        <v>333</v>
      </c>
      <c r="D38">
        <v>-4180</v>
      </c>
      <c r="E38">
        <v>-23061</v>
      </c>
      <c r="F38">
        <v>18955</v>
      </c>
      <c r="G38">
        <v>-60315</v>
      </c>
      <c r="H38">
        <v>-5245</v>
      </c>
      <c r="I38">
        <v>0</v>
      </c>
    </row>
    <row r="39" spans="2:9">
      <c r="B39" t="s">
        <v>635</v>
      </c>
      <c r="C39" t="s">
        <v>293</v>
      </c>
      <c r="D39">
        <v>-58772</v>
      </c>
      <c r="E39">
        <v>-32216</v>
      </c>
      <c r="F39">
        <v>5586</v>
      </c>
      <c r="G39">
        <v>-38307</v>
      </c>
      <c r="H39">
        <v>-2638</v>
      </c>
      <c r="I39">
        <v>0</v>
      </c>
    </row>
    <row r="40" spans="2:9">
      <c r="B40" t="s">
        <v>556</v>
      </c>
      <c r="C40" t="s">
        <v>598</v>
      </c>
      <c r="D40">
        <v>318967</v>
      </c>
      <c r="E40">
        <v>95144</v>
      </c>
      <c r="F40">
        <v>-173116</v>
      </c>
      <c r="G40">
        <v>-316131</v>
      </c>
      <c r="H40">
        <v>-606585</v>
      </c>
      <c r="I40">
        <v>0</v>
      </c>
    </row>
    <row r="41" spans="2:9">
      <c r="B41" t="s">
        <v>550</v>
      </c>
      <c r="C41" t="s">
        <v>138</v>
      </c>
      <c r="D41">
        <v>-164955</v>
      </c>
      <c r="E41">
        <v>-289463</v>
      </c>
      <c r="F41">
        <v>-111270</v>
      </c>
      <c r="G41">
        <v>67111</v>
      </c>
      <c r="H41">
        <v>0</v>
      </c>
      <c r="I41">
        <v>0</v>
      </c>
    </row>
    <row r="42" spans="2:9">
      <c r="B42" t="s">
        <v>557</v>
      </c>
      <c r="C42" t="s">
        <v>139</v>
      </c>
      <c r="D42">
        <v>-110400</v>
      </c>
      <c r="E42">
        <v>0</v>
      </c>
      <c r="F42">
        <v>0</v>
      </c>
      <c r="G42">
        <v>0</v>
      </c>
      <c r="H42">
        <v>0</v>
      </c>
      <c r="I42">
        <v>0</v>
      </c>
    </row>
    <row r="43" spans="2:9">
      <c r="B43" t="s">
        <v>614</v>
      </c>
      <c r="C43" t="s">
        <v>498</v>
      </c>
      <c r="D43">
        <v>0</v>
      </c>
      <c r="E43">
        <v>0</v>
      </c>
      <c r="F43">
        <v>0</v>
      </c>
      <c r="G43">
        <v>0</v>
      </c>
      <c r="H43">
        <v>0</v>
      </c>
      <c r="I43">
        <v>0</v>
      </c>
    </row>
    <row r="44" spans="2:9">
      <c r="B44" t="s">
        <v>426</v>
      </c>
      <c r="C44" t="s">
        <v>1422</v>
      </c>
      <c r="D44">
        <v>0</v>
      </c>
      <c r="E44">
        <v>0</v>
      </c>
      <c r="F44">
        <v>0</v>
      </c>
      <c r="G44">
        <v>0</v>
      </c>
      <c r="H44">
        <v>0</v>
      </c>
      <c r="I44">
        <v>0</v>
      </c>
    </row>
    <row r="45" spans="2:9">
      <c r="B45" t="s">
        <v>427</v>
      </c>
      <c r="C45" t="s">
        <v>1668</v>
      </c>
      <c r="D45">
        <v>-394111</v>
      </c>
      <c r="E45">
        <v>-503563</v>
      </c>
      <c r="F45">
        <v>-614795</v>
      </c>
      <c r="G45">
        <v>-496165</v>
      </c>
      <c r="H45">
        <v>-320547</v>
      </c>
      <c r="I45">
        <v>0</v>
      </c>
    </row>
    <row r="46" spans="2:9">
      <c r="B46" t="s">
        <v>428</v>
      </c>
      <c r="C46" t="s">
        <v>1108</v>
      </c>
      <c r="D46">
        <v>0</v>
      </c>
      <c r="E46">
        <v>0</v>
      </c>
      <c r="F46">
        <v>0</v>
      </c>
      <c r="G46">
        <v>0</v>
      </c>
      <c r="H46">
        <v>0</v>
      </c>
      <c r="I46">
        <v>0</v>
      </c>
    </row>
    <row r="47" spans="2:9">
      <c r="B47" t="s">
        <v>429</v>
      </c>
      <c r="C47" t="s">
        <v>140</v>
      </c>
      <c r="D47">
        <v>110400</v>
      </c>
      <c r="E47">
        <v>0</v>
      </c>
      <c r="F47">
        <v>0</v>
      </c>
      <c r="G47">
        <v>0</v>
      </c>
      <c r="H47">
        <v>0</v>
      </c>
      <c r="I47">
        <v>0</v>
      </c>
    </row>
    <row r="48" spans="2:9">
      <c r="B48" t="s">
        <v>615</v>
      </c>
      <c r="C48" t="s">
        <v>335</v>
      </c>
      <c r="D48">
        <v>0</v>
      </c>
      <c r="E48">
        <v>0</v>
      </c>
      <c r="F48">
        <v>0</v>
      </c>
      <c r="G48">
        <v>0</v>
      </c>
      <c r="H48">
        <v>0</v>
      </c>
      <c r="I48">
        <v>0</v>
      </c>
    </row>
    <row r="49" spans="2:9">
      <c r="B49" t="s">
        <v>527</v>
      </c>
      <c r="C49" t="s">
        <v>530</v>
      </c>
      <c r="D49">
        <v>0</v>
      </c>
      <c r="E49">
        <v>-63166</v>
      </c>
      <c r="F49">
        <v>0</v>
      </c>
      <c r="G49">
        <v>0</v>
      </c>
      <c r="H49">
        <v>0</v>
      </c>
      <c r="I49">
        <v>0</v>
      </c>
    </row>
    <row r="50" spans="2:9">
      <c r="B50" t="s">
        <v>528</v>
      </c>
      <c r="C50" t="s">
        <v>529</v>
      </c>
      <c r="D50">
        <v>0</v>
      </c>
      <c r="E50">
        <v>0</v>
      </c>
      <c r="F50">
        <v>0</v>
      </c>
      <c r="G50">
        <v>0</v>
      </c>
      <c r="H50">
        <v>0</v>
      </c>
      <c r="I50">
        <v>0</v>
      </c>
    </row>
    <row r="51" spans="2:9">
      <c r="B51" t="s">
        <v>531</v>
      </c>
      <c r="C51" t="s">
        <v>532</v>
      </c>
      <c r="D51">
        <v>0</v>
      </c>
      <c r="E51">
        <v>0</v>
      </c>
      <c r="F51">
        <v>0</v>
      </c>
      <c r="G51">
        <v>0</v>
      </c>
      <c r="H51">
        <v>0</v>
      </c>
      <c r="I51">
        <v>0</v>
      </c>
    </row>
    <row r="52" spans="2:9">
      <c r="B52" t="s">
        <v>616</v>
      </c>
      <c r="C52" t="s">
        <v>499</v>
      </c>
      <c r="D52">
        <v>0</v>
      </c>
      <c r="E52">
        <v>0</v>
      </c>
      <c r="F52">
        <v>0</v>
      </c>
      <c r="G52">
        <v>0</v>
      </c>
      <c r="H52">
        <v>0</v>
      </c>
      <c r="I52">
        <v>0</v>
      </c>
    </row>
    <row r="53" spans="2:9">
      <c r="B53" t="s">
        <v>435</v>
      </c>
      <c r="C53" t="s">
        <v>114</v>
      </c>
      <c r="D53">
        <v>-105</v>
      </c>
      <c r="E53">
        <v>-106</v>
      </c>
      <c r="F53">
        <v>-106</v>
      </c>
      <c r="G53">
        <v>-106</v>
      </c>
      <c r="H53">
        <v>-108</v>
      </c>
      <c r="I53">
        <v>0</v>
      </c>
    </row>
    <row r="54" spans="2:9">
      <c r="B54" t="s">
        <v>558</v>
      </c>
      <c r="C54" t="s">
        <v>113</v>
      </c>
      <c r="D54">
        <v>0</v>
      </c>
      <c r="E54">
        <v>0</v>
      </c>
      <c r="F54">
        <v>0</v>
      </c>
      <c r="G54">
        <v>0</v>
      </c>
      <c r="H54">
        <v>0</v>
      </c>
      <c r="I54">
        <v>0</v>
      </c>
    </row>
    <row r="55" spans="2:9">
      <c r="B55" t="s">
        <v>347</v>
      </c>
      <c r="C55" t="s">
        <v>115</v>
      </c>
      <c r="D55">
        <v>-628827</v>
      </c>
      <c r="E55">
        <v>-594647</v>
      </c>
      <c r="F55">
        <v>-446026</v>
      </c>
      <c r="G55">
        <v>-169225</v>
      </c>
      <c r="H55">
        <v>-295388</v>
      </c>
      <c r="I55">
        <v>0</v>
      </c>
    </row>
    <row r="56" spans="2:9">
      <c r="B56" t="s">
        <v>559</v>
      </c>
      <c r="C56" t="s">
        <v>30</v>
      </c>
      <c r="D56">
        <v>182989</v>
      </c>
      <c r="E56">
        <v>0</v>
      </c>
      <c r="F56">
        <v>137800</v>
      </c>
      <c r="G56">
        <v>0</v>
      </c>
      <c r="H56">
        <v>202002</v>
      </c>
      <c r="I56">
        <v>0</v>
      </c>
    </row>
    <row r="57" spans="2:9">
      <c r="B57" t="s">
        <v>617</v>
      </c>
      <c r="C57" t="s">
        <v>329</v>
      </c>
      <c r="D57">
        <v>0</v>
      </c>
      <c r="E57">
        <v>0</v>
      </c>
      <c r="F57">
        <v>0</v>
      </c>
      <c r="G57">
        <v>0</v>
      </c>
      <c r="H57">
        <v>0</v>
      </c>
      <c r="I57">
        <v>0</v>
      </c>
    </row>
    <row r="58" spans="2:9">
      <c r="B58" t="s">
        <v>560</v>
      </c>
      <c r="C58" t="s">
        <v>240</v>
      </c>
      <c r="D58">
        <v>-6261053</v>
      </c>
      <c r="E58">
        <v>-6059602</v>
      </c>
      <c r="F58">
        <v>-5668403</v>
      </c>
      <c r="G58">
        <v>-5598212</v>
      </c>
      <c r="H58">
        <v>-4331407</v>
      </c>
      <c r="I58">
        <v>0</v>
      </c>
    </row>
    <row r="59" spans="2:9">
      <c r="B59" t="s">
        <v>618</v>
      </c>
      <c r="C59" t="s">
        <v>330</v>
      </c>
      <c r="D59">
        <v>0</v>
      </c>
      <c r="E59">
        <v>0</v>
      </c>
      <c r="F59">
        <v>0</v>
      </c>
      <c r="G59">
        <v>0</v>
      </c>
      <c r="H59">
        <v>0</v>
      </c>
      <c r="I59">
        <v>0</v>
      </c>
    </row>
    <row r="60" spans="2:9">
      <c r="B60" t="s">
        <v>561</v>
      </c>
      <c r="C60" t="s">
        <v>141</v>
      </c>
      <c r="D60">
        <v>0</v>
      </c>
      <c r="E60">
        <v>0</v>
      </c>
      <c r="F60">
        <v>0</v>
      </c>
      <c r="G60">
        <v>0</v>
      </c>
      <c r="H60">
        <v>0</v>
      </c>
      <c r="I60">
        <v>0</v>
      </c>
    </row>
    <row r="61" spans="2:9">
      <c r="B61" t="s">
        <v>563</v>
      </c>
      <c r="C61" t="s">
        <v>142</v>
      </c>
      <c r="D61">
        <v>0</v>
      </c>
      <c r="E61">
        <v>0</v>
      </c>
      <c r="F61">
        <v>0</v>
      </c>
      <c r="G61">
        <v>0</v>
      </c>
      <c r="H61">
        <v>0</v>
      </c>
      <c r="I61">
        <v>0</v>
      </c>
    </row>
    <row r="62" spans="2:9">
      <c r="B62" t="s">
        <v>562</v>
      </c>
      <c r="C62" t="s">
        <v>368</v>
      </c>
      <c r="D62">
        <v>-422</v>
      </c>
      <c r="E62">
        <v>0</v>
      </c>
      <c r="F62">
        <v>0</v>
      </c>
      <c r="G62">
        <v>0</v>
      </c>
      <c r="H62">
        <v>0</v>
      </c>
      <c r="I62">
        <v>0</v>
      </c>
    </row>
    <row r="63" spans="2:9">
      <c r="B63" t="s">
        <v>564</v>
      </c>
      <c r="C63" t="s">
        <v>369</v>
      </c>
      <c r="D63">
        <v>2405</v>
      </c>
      <c r="E63">
        <v>0</v>
      </c>
      <c r="F63">
        <v>0</v>
      </c>
      <c r="G63">
        <v>0</v>
      </c>
      <c r="H63">
        <v>0</v>
      </c>
      <c r="I63">
        <v>0</v>
      </c>
    </row>
    <row r="64" spans="2:9">
      <c r="B64" t="s">
        <v>565</v>
      </c>
      <c r="C64" t="s">
        <v>636</v>
      </c>
      <c r="D64">
        <v>-18615</v>
      </c>
      <c r="E64">
        <v>0</v>
      </c>
      <c r="F64">
        <v>0</v>
      </c>
      <c r="G64">
        <v>0</v>
      </c>
      <c r="H64">
        <v>0</v>
      </c>
      <c r="I64">
        <v>0</v>
      </c>
    </row>
    <row r="65" spans="2:9">
      <c r="B65" t="s">
        <v>566</v>
      </c>
      <c r="C65" t="s">
        <v>362</v>
      </c>
      <c r="D65">
        <v>0</v>
      </c>
      <c r="E65">
        <v>0</v>
      </c>
      <c r="F65">
        <v>0</v>
      </c>
      <c r="G65">
        <v>0</v>
      </c>
      <c r="H65">
        <v>0</v>
      </c>
      <c r="I65">
        <v>0</v>
      </c>
    </row>
    <row r="66" spans="2:9">
      <c r="B66" t="s">
        <v>619</v>
      </c>
      <c r="C66" t="s">
        <v>331</v>
      </c>
      <c r="D66">
        <v>0</v>
      </c>
      <c r="E66">
        <v>0</v>
      </c>
      <c r="F66">
        <v>0</v>
      </c>
      <c r="G66">
        <v>0</v>
      </c>
      <c r="H66">
        <v>0</v>
      </c>
      <c r="I66">
        <v>0</v>
      </c>
    </row>
    <row r="67" spans="2:9">
      <c r="B67" t="s">
        <v>567</v>
      </c>
      <c r="C67" t="s">
        <v>1369</v>
      </c>
      <c r="D67">
        <v>2045958</v>
      </c>
      <c r="E67">
        <v>1885747</v>
      </c>
      <c r="F67">
        <v>1778869</v>
      </c>
      <c r="G67">
        <v>1940017</v>
      </c>
      <c r="H67">
        <v>1538246</v>
      </c>
      <c r="I67">
        <v>0</v>
      </c>
    </row>
    <row r="68" spans="2:9">
      <c r="B68" t="s">
        <v>1370</v>
      </c>
      <c r="C68" t="s">
        <v>1368</v>
      </c>
      <c r="D68">
        <v>39416</v>
      </c>
      <c r="E68">
        <v>28304</v>
      </c>
      <c r="F68">
        <v>33732</v>
      </c>
      <c r="G68">
        <v>34454</v>
      </c>
      <c r="H68">
        <v>54219</v>
      </c>
      <c r="I68">
        <v>0</v>
      </c>
    </row>
    <row r="69" spans="2:9">
      <c r="B69" t="s">
        <v>1358</v>
      </c>
      <c r="C69" t="s">
        <v>1229</v>
      </c>
      <c r="D69">
        <v>1552774</v>
      </c>
      <c r="E69">
        <v>1355564</v>
      </c>
      <c r="F69">
        <v>1241497</v>
      </c>
      <c r="G69">
        <v>1196412</v>
      </c>
      <c r="H69">
        <v>1037511</v>
      </c>
      <c r="I69">
        <v>0</v>
      </c>
    </row>
    <row r="70" spans="2:9">
      <c r="B70" t="s">
        <v>620</v>
      </c>
      <c r="C70" t="s">
        <v>246</v>
      </c>
      <c r="D70">
        <v>0</v>
      </c>
      <c r="E70">
        <v>0</v>
      </c>
      <c r="F70">
        <v>0</v>
      </c>
      <c r="G70">
        <v>0</v>
      </c>
      <c r="H70">
        <v>0</v>
      </c>
      <c r="I70">
        <v>0</v>
      </c>
    </row>
    <row r="71" spans="2:9">
      <c r="B71" t="s">
        <v>568</v>
      </c>
      <c r="C71" t="s">
        <v>544</v>
      </c>
      <c r="D71">
        <v>406510</v>
      </c>
      <c r="E71">
        <v>794057</v>
      </c>
      <c r="F71">
        <v>609544</v>
      </c>
      <c r="G71">
        <v>378379</v>
      </c>
      <c r="H71">
        <v>310904</v>
      </c>
      <c r="I71">
        <v>0</v>
      </c>
    </row>
    <row r="72" spans="2:9">
      <c r="B72" t="s">
        <v>569</v>
      </c>
      <c r="C72" t="s">
        <v>460</v>
      </c>
      <c r="D72">
        <v>32273</v>
      </c>
      <c r="E72">
        <v>28465</v>
      </c>
      <c r="F72">
        <v>22992</v>
      </c>
      <c r="G72">
        <v>18914</v>
      </c>
      <c r="H72">
        <v>22162</v>
      </c>
      <c r="I72">
        <v>0</v>
      </c>
    </row>
    <row r="73" spans="2:9">
      <c r="B73" t="s">
        <v>570</v>
      </c>
      <c r="C73" t="s">
        <v>462</v>
      </c>
      <c r="D73">
        <v>0</v>
      </c>
      <c r="E73">
        <v>0</v>
      </c>
      <c r="F73">
        <v>0</v>
      </c>
      <c r="G73">
        <v>0</v>
      </c>
      <c r="H73">
        <v>0</v>
      </c>
      <c r="I73">
        <v>0</v>
      </c>
    </row>
    <row r="74" spans="2:9">
      <c r="B74" t="s">
        <v>601</v>
      </c>
      <c r="C74" t="s">
        <v>464</v>
      </c>
      <c r="D74">
        <v>0</v>
      </c>
      <c r="E74">
        <v>0</v>
      </c>
      <c r="F74">
        <v>0</v>
      </c>
      <c r="G74">
        <v>0</v>
      </c>
      <c r="H74">
        <v>0</v>
      </c>
      <c r="I74">
        <v>0</v>
      </c>
    </row>
    <row r="75" spans="2:9">
      <c r="B75" t="s">
        <v>602</v>
      </c>
      <c r="C75" t="s">
        <v>1483</v>
      </c>
      <c r="D75">
        <v>13851</v>
      </c>
      <c r="E75">
        <v>18604</v>
      </c>
      <c r="F75">
        <v>15883</v>
      </c>
      <c r="G75">
        <v>18452</v>
      </c>
      <c r="H75">
        <v>15629</v>
      </c>
      <c r="I75">
        <v>0</v>
      </c>
    </row>
    <row r="76" spans="2:9">
      <c r="B76" t="s">
        <v>621</v>
      </c>
      <c r="C76" t="s">
        <v>236</v>
      </c>
      <c r="D76">
        <v>0</v>
      </c>
      <c r="E76">
        <v>0</v>
      </c>
      <c r="F76">
        <v>0</v>
      </c>
      <c r="G76">
        <v>0</v>
      </c>
      <c r="H76">
        <v>0</v>
      </c>
      <c r="I76">
        <v>0</v>
      </c>
    </row>
    <row r="77" spans="2:9">
      <c r="B77" t="s">
        <v>471</v>
      </c>
      <c r="C77" t="s">
        <v>251</v>
      </c>
      <c r="D77">
        <v>283395</v>
      </c>
      <c r="E77">
        <v>269846</v>
      </c>
      <c r="F77">
        <v>249329</v>
      </c>
      <c r="G77">
        <v>245006</v>
      </c>
      <c r="H77">
        <v>214642</v>
      </c>
      <c r="I77">
        <v>0</v>
      </c>
    </row>
    <row r="78" spans="2:9">
      <c r="B78" t="s">
        <v>472</v>
      </c>
      <c r="C78" t="s">
        <v>252</v>
      </c>
      <c r="D78">
        <v>24629</v>
      </c>
      <c r="E78">
        <v>23263</v>
      </c>
      <c r="F78">
        <v>20283</v>
      </c>
      <c r="G78">
        <v>21881</v>
      </c>
      <c r="H78">
        <v>16705</v>
      </c>
      <c r="I78">
        <v>0</v>
      </c>
    </row>
    <row r="79" spans="2:9">
      <c r="B79" t="s">
        <v>473</v>
      </c>
      <c r="C79" t="s">
        <v>237</v>
      </c>
      <c r="D79">
        <v>86777</v>
      </c>
      <c r="E79">
        <v>91173</v>
      </c>
      <c r="F79">
        <v>87233</v>
      </c>
      <c r="G79">
        <v>81081</v>
      </c>
      <c r="H79">
        <v>50636</v>
      </c>
      <c r="I79">
        <v>0</v>
      </c>
    </row>
    <row r="80" spans="2:9">
      <c r="B80" t="s">
        <v>1359</v>
      </c>
      <c r="C80" t="s">
        <v>1241</v>
      </c>
      <c r="D80">
        <v>214226</v>
      </c>
      <c r="E80">
        <v>136667</v>
      </c>
      <c r="F80">
        <v>107962</v>
      </c>
      <c r="G80">
        <v>79761</v>
      </c>
      <c r="H80">
        <v>61029</v>
      </c>
      <c r="I80">
        <v>0</v>
      </c>
    </row>
    <row r="81" spans="2:9">
      <c r="B81" t="s">
        <v>1360</v>
      </c>
      <c r="C81" t="s">
        <v>342</v>
      </c>
      <c r="D81">
        <v>9417</v>
      </c>
      <c r="E81">
        <v>7949</v>
      </c>
      <c r="F81">
        <v>6476</v>
      </c>
      <c r="G81">
        <v>3410</v>
      </c>
      <c r="H81">
        <v>3408</v>
      </c>
      <c r="I81">
        <v>0</v>
      </c>
    </row>
    <row r="82" spans="2:9">
      <c r="B82" t="s">
        <v>639</v>
      </c>
      <c r="C82" t="s">
        <v>638</v>
      </c>
      <c r="D82">
        <v>31718</v>
      </c>
      <c r="E82">
        <v>5559</v>
      </c>
      <c r="F82">
        <v>18827</v>
      </c>
      <c r="G82">
        <v>29220</v>
      </c>
      <c r="H82">
        <v>32929</v>
      </c>
      <c r="I82">
        <v>0</v>
      </c>
    </row>
    <row r="83" spans="2:9">
      <c r="B83" t="s">
        <v>622</v>
      </c>
      <c r="C83" t="s">
        <v>73</v>
      </c>
      <c r="D83">
        <v>0</v>
      </c>
      <c r="E83">
        <v>0</v>
      </c>
      <c r="F83">
        <v>0</v>
      </c>
      <c r="G83">
        <v>0</v>
      </c>
      <c r="H83">
        <v>0</v>
      </c>
      <c r="I83">
        <v>0</v>
      </c>
    </row>
    <row r="84" spans="2:9">
      <c r="B84" t="s">
        <v>574</v>
      </c>
      <c r="C84" t="s">
        <v>280</v>
      </c>
      <c r="D84">
        <v>19063</v>
      </c>
      <c r="E84">
        <v>21723</v>
      </c>
      <c r="F84">
        <v>30130</v>
      </c>
      <c r="G84">
        <v>23769</v>
      </c>
      <c r="H84">
        <v>25338</v>
      </c>
      <c r="I84">
        <v>0</v>
      </c>
    </row>
    <row r="85" spans="2:9">
      <c r="B85" t="s">
        <v>573</v>
      </c>
      <c r="C85" t="s">
        <v>281</v>
      </c>
      <c r="D85">
        <v>13549</v>
      </c>
      <c r="E85">
        <v>12264</v>
      </c>
      <c r="F85">
        <v>12052</v>
      </c>
      <c r="G85">
        <v>12312</v>
      </c>
      <c r="H85">
        <v>10998</v>
      </c>
      <c r="I85">
        <v>0</v>
      </c>
    </row>
    <row r="86" spans="2:9">
      <c r="B86" t="s">
        <v>474</v>
      </c>
      <c r="C86" t="s">
        <v>261</v>
      </c>
      <c r="D86">
        <v>7527</v>
      </c>
      <c r="E86">
        <v>11894</v>
      </c>
      <c r="F86">
        <v>11152</v>
      </c>
      <c r="G86">
        <v>12128</v>
      </c>
      <c r="H86">
        <v>8043</v>
      </c>
      <c r="I86">
        <v>0</v>
      </c>
    </row>
    <row r="87" spans="2:9">
      <c r="B87" t="s">
        <v>623</v>
      </c>
      <c r="C87" t="s">
        <v>247</v>
      </c>
      <c r="D87">
        <v>0</v>
      </c>
      <c r="E87">
        <v>0</v>
      </c>
      <c r="F87">
        <v>0</v>
      </c>
      <c r="G87">
        <v>0</v>
      </c>
      <c r="H87">
        <v>0</v>
      </c>
      <c r="I87">
        <v>0</v>
      </c>
    </row>
    <row r="88" spans="2:9">
      <c r="B88" t="s">
        <v>576</v>
      </c>
      <c r="C88" t="s">
        <v>145</v>
      </c>
      <c r="D88">
        <v>8787</v>
      </c>
      <c r="E88">
        <v>7265</v>
      </c>
      <c r="F88">
        <v>19087</v>
      </c>
      <c r="G88">
        <v>9162</v>
      </c>
      <c r="H88">
        <v>9049</v>
      </c>
      <c r="I88">
        <v>0</v>
      </c>
    </row>
    <row r="89" spans="2:9">
      <c r="B89" t="s">
        <v>577</v>
      </c>
      <c r="C89" t="s">
        <v>282</v>
      </c>
      <c r="D89">
        <v>0</v>
      </c>
      <c r="E89">
        <v>0</v>
      </c>
      <c r="F89">
        <v>0</v>
      </c>
      <c r="G89">
        <v>0</v>
      </c>
      <c r="H89">
        <v>0</v>
      </c>
      <c r="I89">
        <v>0</v>
      </c>
    </row>
    <row r="90" spans="2:9">
      <c r="B90" t="s">
        <v>1361</v>
      </c>
      <c r="C90" t="s">
        <v>1171</v>
      </c>
      <c r="D90">
        <v>33577</v>
      </c>
      <c r="E90">
        <v>30069</v>
      </c>
      <c r="F90">
        <v>17462</v>
      </c>
      <c r="G90">
        <v>23292</v>
      </c>
      <c r="H90">
        <v>17722</v>
      </c>
      <c r="I90">
        <v>0</v>
      </c>
    </row>
    <row r="91" spans="2:9">
      <c r="B91" t="s">
        <v>578</v>
      </c>
      <c r="C91" t="s">
        <v>341</v>
      </c>
      <c r="D91">
        <v>25894</v>
      </c>
      <c r="E91">
        <v>41956</v>
      </c>
      <c r="F91">
        <v>13255</v>
      </c>
      <c r="G91">
        <v>21325</v>
      </c>
      <c r="H91">
        <v>96</v>
      </c>
      <c r="I91">
        <v>0</v>
      </c>
    </row>
    <row r="92" spans="2:9">
      <c r="B92" t="s">
        <v>624</v>
      </c>
      <c r="C92" t="s">
        <v>324</v>
      </c>
      <c r="D92">
        <v>0</v>
      </c>
      <c r="E92">
        <v>0</v>
      </c>
      <c r="F92">
        <v>0</v>
      </c>
      <c r="G92">
        <v>0</v>
      </c>
      <c r="H92">
        <v>0</v>
      </c>
      <c r="I92">
        <v>0</v>
      </c>
    </row>
    <row r="93" spans="2:9">
      <c r="B93" t="s">
        <v>572</v>
      </c>
      <c r="C93" t="s">
        <v>108</v>
      </c>
      <c r="D93">
        <v>0</v>
      </c>
      <c r="E93">
        <v>0</v>
      </c>
      <c r="F93">
        <v>0</v>
      </c>
      <c r="G93">
        <v>0</v>
      </c>
      <c r="H93">
        <v>0</v>
      </c>
      <c r="I93">
        <v>0</v>
      </c>
    </row>
    <row r="94" spans="2:9">
      <c r="B94" t="s">
        <v>580</v>
      </c>
      <c r="C94" t="s">
        <v>146</v>
      </c>
      <c r="D94">
        <v>0</v>
      </c>
      <c r="E94">
        <v>0</v>
      </c>
      <c r="F94">
        <v>0</v>
      </c>
      <c r="G94">
        <v>0</v>
      </c>
      <c r="H94">
        <v>0</v>
      </c>
      <c r="I94">
        <v>0</v>
      </c>
    </row>
    <row r="95" spans="2:9">
      <c r="B95" t="s">
        <v>581</v>
      </c>
      <c r="C95" t="s">
        <v>106</v>
      </c>
      <c r="D95">
        <v>52201</v>
      </c>
      <c r="E95">
        <v>39976</v>
      </c>
      <c r="F95">
        <v>35178</v>
      </c>
      <c r="G95">
        <v>25644</v>
      </c>
      <c r="H95">
        <v>22448</v>
      </c>
      <c r="I95">
        <v>0</v>
      </c>
    </row>
    <row r="96" spans="2:9">
      <c r="B96" t="s">
        <v>582</v>
      </c>
      <c r="C96" t="s">
        <v>43</v>
      </c>
      <c r="D96">
        <v>0</v>
      </c>
      <c r="E96">
        <v>0</v>
      </c>
      <c r="F96">
        <v>0</v>
      </c>
      <c r="G96">
        <v>0</v>
      </c>
      <c r="H96">
        <v>0</v>
      </c>
      <c r="I96">
        <v>0</v>
      </c>
    </row>
    <row r="97" spans="2:9">
      <c r="B97" t="s">
        <v>583</v>
      </c>
      <c r="C97" t="s">
        <v>366</v>
      </c>
      <c r="D97">
        <v>0</v>
      </c>
      <c r="E97">
        <v>0</v>
      </c>
      <c r="F97">
        <v>0</v>
      </c>
      <c r="G97">
        <v>0</v>
      </c>
      <c r="H97">
        <v>0</v>
      </c>
      <c r="I97">
        <v>0</v>
      </c>
    </row>
    <row r="98" spans="2:9">
      <c r="B98" t="s">
        <v>571</v>
      </c>
      <c r="C98" t="s">
        <v>346</v>
      </c>
      <c r="D98">
        <v>30104</v>
      </c>
      <c r="E98">
        <v>18896</v>
      </c>
      <c r="F98">
        <v>38561</v>
      </c>
      <c r="G98">
        <v>20786</v>
      </c>
      <c r="H98">
        <v>18846</v>
      </c>
      <c r="I98">
        <v>0</v>
      </c>
    </row>
    <row r="99" spans="2:9">
      <c r="B99" t="s">
        <v>625</v>
      </c>
      <c r="C99" t="s">
        <v>1245</v>
      </c>
      <c r="D99">
        <v>0</v>
      </c>
      <c r="E99">
        <v>0</v>
      </c>
      <c r="F99">
        <v>0</v>
      </c>
      <c r="G99">
        <v>0</v>
      </c>
      <c r="H99">
        <v>0</v>
      </c>
      <c r="I99">
        <v>0</v>
      </c>
    </row>
    <row r="100" spans="2:9">
      <c r="B100" t="s">
        <v>1247</v>
      </c>
      <c r="C100" t="s">
        <v>1190</v>
      </c>
      <c r="D100">
        <v>5864</v>
      </c>
      <c r="E100">
        <v>4976</v>
      </c>
      <c r="F100">
        <v>7938</v>
      </c>
      <c r="G100">
        <v>11363</v>
      </c>
      <c r="H100">
        <v>8070</v>
      </c>
      <c r="I100">
        <v>0</v>
      </c>
    </row>
    <row r="101" spans="2:9">
      <c r="B101" t="s">
        <v>1363</v>
      </c>
      <c r="C101" t="s">
        <v>1192</v>
      </c>
      <c r="D101">
        <v>5697</v>
      </c>
      <c r="E101">
        <v>5771</v>
      </c>
      <c r="F101">
        <v>5489</v>
      </c>
      <c r="G101">
        <v>6836</v>
      </c>
      <c r="H101">
        <v>7112</v>
      </c>
      <c r="I101">
        <v>0</v>
      </c>
    </row>
    <row r="102" spans="2:9">
      <c r="B102" t="s">
        <v>579</v>
      </c>
      <c r="C102" t="s">
        <v>1372</v>
      </c>
      <c r="D102">
        <v>145055</v>
      </c>
      <c r="E102">
        <v>99967</v>
      </c>
      <c r="F102">
        <v>90894</v>
      </c>
      <c r="G102">
        <v>66862</v>
      </c>
      <c r="H102">
        <v>46429</v>
      </c>
      <c r="I102">
        <v>0</v>
      </c>
    </row>
    <row r="103" spans="2:9">
      <c r="B103" t="s">
        <v>626</v>
      </c>
      <c r="C103" t="s">
        <v>249</v>
      </c>
      <c r="D103">
        <v>0</v>
      </c>
      <c r="E103">
        <v>0</v>
      </c>
      <c r="F103">
        <v>0</v>
      </c>
      <c r="G103">
        <v>0</v>
      </c>
      <c r="H103">
        <v>0</v>
      </c>
      <c r="I103">
        <v>0</v>
      </c>
    </row>
    <row r="104" spans="2:9">
      <c r="B104" t="s">
        <v>1364</v>
      </c>
      <c r="C104" t="s">
        <v>1237</v>
      </c>
      <c r="D104">
        <v>810542</v>
      </c>
      <c r="E104">
        <v>743163</v>
      </c>
      <c r="F104">
        <v>729920</v>
      </c>
      <c r="G104">
        <v>694824</v>
      </c>
      <c r="H104">
        <v>541799</v>
      </c>
      <c r="I104">
        <v>0</v>
      </c>
    </row>
    <row r="105" spans="2:9">
      <c r="B105" t="s">
        <v>584</v>
      </c>
      <c r="C105" t="s">
        <v>105</v>
      </c>
      <c r="D105">
        <v>105801</v>
      </c>
      <c r="E105">
        <v>116136</v>
      </c>
      <c r="F105">
        <v>34991</v>
      </c>
      <c r="G105">
        <v>12302</v>
      </c>
      <c r="H105">
        <v>12929</v>
      </c>
      <c r="I105">
        <v>0</v>
      </c>
    </row>
    <row r="106" spans="2:9">
      <c r="B106" t="s">
        <v>585</v>
      </c>
      <c r="C106" t="s">
        <v>283</v>
      </c>
      <c r="D106">
        <v>21450</v>
      </c>
      <c r="E106">
        <v>15614</v>
      </c>
      <c r="F106">
        <v>22075</v>
      </c>
      <c r="G106">
        <v>25651</v>
      </c>
      <c r="H106">
        <v>10356</v>
      </c>
      <c r="I106">
        <v>0</v>
      </c>
    </row>
    <row r="107" spans="2:9">
      <c r="B107" t="s">
        <v>586</v>
      </c>
      <c r="C107" t="s">
        <v>253</v>
      </c>
      <c r="D107">
        <v>4802</v>
      </c>
      <c r="E107">
        <v>2730</v>
      </c>
      <c r="F107">
        <v>2000</v>
      </c>
      <c r="G107">
        <v>5600</v>
      </c>
      <c r="H107">
        <v>1339</v>
      </c>
      <c r="I107">
        <v>0</v>
      </c>
    </row>
    <row r="108" spans="2:9">
      <c r="B108" t="s">
        <v>627</v>
      </c>
      <c r="C108" t="s">
        <v>248</v>
      </c>
      <c r="D108">
        <v>0</v>
      </c>
      <c r="E108">
        <v>0</v>
      </c>
      <c r="F108">
        <v>0</v>
      </c>
      <c r="G108">
        <v>0</v>
      </c>
      <c r="H108">
        <v>0</v>
      </c>
      <c r="I108">
        <v>0</v>
      </c>
    </row>
    <row r="109" spans="2:9">
      <c r="B109" t="s">
        <v>485</v>
      </c>
      <c r="C109" t="s">
        <v>244</v>
      </c>
      <c r="D109">
        <v>0</v>
      </c>
      <c r="E109">
        <v>0</v>
      </c>
      <c r="F109">
        <v>0</v>
      </c>
      <c r="G109">
        <v>0</v>
      </c>
      <c r="H109">
        <v>0</v>
      </c>
      <c r="I109">
        <v>0</v>
      </c>
    </row>
    <row r="110" spans="2:9">
      <c r="B110" t="s">
        <v>487</v>
      </c>
      <c r="C110" t="s">
        <v>285</v>
      </c>
      <c r="D110">
        <v>0</v>
      </c>
      <c r="E110">
        <v>0</v>
      </c>
      <c r="F110">
        <v>0</v>
      </c>
      <c r="G110">
        <v>0</v>
      </c>
      <c r="H110">
        <v>0</v>
      </c>
      <c r="I110">
        <v>0</v>
      </c>
    </row>
    <row r="111" spans="2:9">
      <c r="B111" t="s">
        <v>489</v>
      </c>
      <c r="C111" t="s">
        <v>367</v>
      </c>
      <c r="D111">
        <v>0</v>
      </c>
      <c r="E111">
        <v>0</v>
      </c>
      <c r="F111">
        <v>0</v>
      </c>
      <c r="G111">
        <v>0</v>
      </c>
      <c r="H111">
        <v>0</v>
      </c>
      <c r="I111">
        <v>0</v>
      </c>
    </row>
    <row r="112" spans="2:9">
      <c r="B112" t="s">
        <v>628</v>
      </c>
      <c r="C112" t="s">
        <v>245</v>
      </c>
      <c r="D112">
        <v>0</v>
      </c>
      <c r="E112">
        <v>0</v>
      </c>
      <c r="F112">
        <v>0</v>
      </c>
      <c r="G112">
        <v>0</v>
      </c>
      <c r="H112">
        <v>0</v>
      </c>
      <c r="I112">
        <v>0</v>
      </c>
    </row>
    <row r="113" spans="2:9">
      <c r="B113" t="s">
        <v>587</v>
      </c>
      <c r="C113" t="s">
        <v>600</v>
      </c>
      <c r="D113">
        <v>166054</v>
      </c>
      <c r="E113">
        <v>193861</v>
      </c>
      <c r="F113">
        <v>2177</v>
      </c>
      <c r="G113">
        <v>189505</v>
      </c>
      <c r="H113">
        <v>125998</v>
      </c>
      <c r="I113">
        <v>0</v>
      </c>
    </row>
    <row r="114" spans="2:9">
      <c r="B114" t="s">
        <v>629</v>
      </c>
      <c r="C114" t="s">
        <v>534</v>
      </c>
      <c r="D114">
        <v>0</v>
      </c>
      <c r="E114">
        <v>0</v>
      </c>
      <c r="F114">
        <v>0</v>
      </c>
      <c r="G114">
        <v>0</v>
      </c>
      <c r="H114">
        <v>0</v>
      </c>
      <c r="I114">
        <v>0</v>
      </c>
    </row>
    <row r="115" spans="2:9">
      <c r="B115" t="s">
        <v>588</v>
      </c>
      <c r="C115" t="s">
        <v>344</v>
      </c>
      <c r="D115">
        <v>-7326</v>
      </c>
      <c r="E115">
        <v>0</v>
      </c>
      <c r="F115">
        <v>0</v>
      </c>
      <c r="G115">
        <v>0</v>
      </c>
      <c r="H115">
        <v>0</v>
      </c>
      <c r="I115">
        <v>0</v>
      </c>
    </row>
    <row r="116" spans="2:9">
      <c r="B116" t="s">
        <v>1365</v>
      </c>
      <c r="C116" t="s">
        <v>535</v>
      </c>
      <c r="D116">
        <v>0</v>
      </c>
      <c r="E116">
        <v>0</v>
      </c>
      <c r="F116">
        <v>0</v>
      </c>
      <c r="G116">
        <v>0</v>
      </c>
      <c r="H116">
        <v>0</v>
      </c>
      <c r="I116">
        <v>0</v>
      </c>
    </row>
    <row r="117" spans="2:9">
      <c r="B117" t="s">
        <v>504</v>
      </c>
      <c r="C117" t="s">
        <v>599</v>
      </c>
      <c r="D117">
        <v>13</v>
      </c>
      <c r="E117">
        <v>13961</v>
      </c>
      <c r="F117">
        <v>116990</v>
      </c>
      <c r="G117">
        <v>113061</v>
      </c>
      <c r="H117">
        <v>30976</v>
      </c>
      <c r="I117">
        <v>0</v>
      </c>
    </row>
    <row r="118" spans="2:9">
      <c r="D118">
        <v>0</v>
      </c>
    </row>
    <row r="122" spans="2:9">
      <c r="D122" s="3" t="s">
        <v>0</v>
      </c>
    </row>
    <row r="124" spans="2:9">
      <c r="D124" t="s">
        <v>0</v>
      </c>
    </row>
    <row r="126" spans="2:9">
      <c r="D126" s="3" t="s">
        <v>0</v>
      </c>
    </row>
  </sheetData>
  <mergeCells count="4">
    <mergeCell ref="B2:I2"/>
    <mergeCell ref="B3:I3"/>
    <mergeCell ref="B4:I4"/>
    <mergeCell ref="B6:I6"/>
  </mergeCells>
  <hyperlinks>
    <hyperlink ref="A1" location="'TABLE OF CONTENTS'!A1" display="INDEX" xr:uid="{B55E804D-47AF-4385-B4BD-3F2542AC0133}"/>
  </hyperlinks>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22606-0E29-499F-A529-CEFA789E18C0}">
  <sheetPr codeName="Sheet5">
    <tabColor rgb="FF00B050"/>
  </sheetPr>
  <dimension ref="A1:K161"/>
  <sheetViews>
    <sheetView topLeftCell="A6" workbookViewId="0">
      <selection activeCell="C22" sqref="C22"/>
    </sheetView>
  </sheetViews>
  <sheetFormatPr defaultRowHeight="12.75"/>
  <cols>
    <col min="2" max="2" width="49.42578125" bestFit="1" customWidth="1"/>
    <col min="3" max="3" width="16.140625" style="22" bestFit="1" customWidth="1"/>
    <col min="4" max="4" width="16.140625" bestFit="1" customWidth="1"/>
    <col min="5" max="5" width="13.140625" customWidth="1"/>
    <col min="7" max="7" width="12.28515625" style="22" bestFit="1" customWidth="1"/>
    <col min="9" max="9" width="13.7109375" customWidth="1"/>
    <col min="10" max="10" width="10.7109375" customWidth="1"/>
    <col min="11" max="11" width="14.140625" customWidth="1"/>
  </cols>
  <sheetData>
    <row r="1" spans="1:5">
      <c r="A1" s="59" t="s">
        <v>1650</v>
      </c>
      <c r="B1" s="196"/>
      <c r="C1" s="196" t="str">
        <f>B4</f>
        <v xml:space="preserve">GENERAL LEDGER TRAIL BALANCE </v>
      </c>
      <c r="D1" s="518"/>
    </row>
    <row r="2" spans="1:5">
      <c r="A2" s="520"/>
      <c r="B2" s="1288" t="str">
        <f>UPPER(COA!B2)</f>
        <v>ANONYMOUS COMPANY</v>
      </c>
      <c r="C2" s="1288"/>
      <c r="D2" s="1288"/>
      <c r="E2" s="290" t="s">
        <v>361</v>
      </c>
    </row>
    <row r="3" spans="1:5">
      <c r="A3" s="520"/>
      <c r="B3" s="1289" t="str">
        <f>"FOR THE YEAR ENDED "&amp;UPPER(TEXT(COA!$B$4,"MMMM DD, YYYY"))</f>
        <v>FOR THE YEAR ENDED DECEMBER 31, 2025</v>
      </c>
      <c r="C3" s="1289"/>
      <c r="D3" s="1289"/>
      <c r="E3" s="519"/>
    </row>
    <row r="4" spans="1:5">
      <c r="A4" s="520"/>
      <c r="B4" s="1290" t="s">
        <v>1390</v>
      </c>
      <c r="C4" s="1290"/>
      <c r="D4" s="1290"/>
      <c r="E4" s="519"/>
    </row>
    <row r="5" spans="1:5" ht="13.5" thickBot="1">
      <c r="A5" s="520"/>
      <c r="B5" s="228"/>
      <c r="C5" s="521"/>
      <c r="D5" s="521"/>
      <c r="E5" s="519"/>
    </row>
    <row r="6" spans="1:5" ht="49.5" customHeight="1" thickBot="1">
      <c r="A6" s="520"/>
      <c r="B6" s="1291" t="s">
        <v>1391</v>
      </c>
      <c r="C6" s="1291"/>
      <c r="D6" s="1291"/>
      <c r="E6" s="519"/>
    </row>
    <row r="7" spans="1:5">
      <c r="A7" s="520"/>
      <c r="B7" s="519" t="s">
        <v>0</v>
      </c>
      <c r="C7" s="519"/>
      <c r="D7" s="519"/>
      <c r="E7" s="519"/>
    </row>
    <row r="8" spans="1:5">
      <c r="B8" s="360" t="s">
        <v>10</v>
      </c>
      <c r="C8" s="22" t="s">
        <v>543</v>
      </c>
    </row>
    <row r="9" spans="1:5">
      <c r="B9" t="s">
        <v>1274</v>
      </c>
      <c r="C9" s="22">
        <v>24875.53</v>
      </c>
      <c r="E9" s="775"/>
    </row>
    <row r="10" spans="1:5">
      <c r="B10" t="s">
        <v>80</v>
      </c>
      <c r="C10" s="22">
        <v>52308.04</v>
      </c>
      <c r="E10" s="775"/>
    </row>
    <row r="11" spans="1:5">
      <c r="B11" t="s">
        <v>24</v>
      </c>
      <c r="C11" s="22">
        <v>0</v>
      </c>
      <c r="E11" s="775"/>
    </row>
    <row r="12" spans="1:5">
      <c r="B12" t="s">
        <v>853</v>
      </c>
      <c r="C12" s="22">
        <v>155.05000000000109</v>
      </c>
      <c r="E12" s="775"/>
    </row>
    <row r="13" spans="1:5">
      <c r="B13" t="s">
        <v>854</v>
      </c>
      <c r="C13" s="22">
        <v>-22252.449999999997</v>
      </c>
      <c r="E13" s="775"/>
    </row>
    <row r="14" spans="1:5">
      <c r="B14" t="s">
        <v>855</v>
      </c>
      <c r="C14" s="22">
        <v>25912.750000000022</v>
      </c>
      <c r="E14" s="775"/>
    </row>
    <row r="15" spans="1:5">
      <c r="B15" t="s">
        <v>856</v>
      </c>
      <c r="C15" s="22">
        <v>114436.93</v>
      </c>
      <c r="E15" s="775"/>
    </row>
    <row r="16" spans="1:5">
      <c r="B16" t="s">
        <v>81</v>
      </c>
      <c r="C16" s="22">
        <v>18415</v>
      </c>
      <c r="E16" s="775"/>
    </row>
    <row r="17" spans="2:9">
      <c r="B17" t="s">
        <v>82</v>
      </c>
      <c r="C17" s="22">
        <v>8572.5</v>
      </c>
      <c r="E17" s="775"/>
    </row>
    <row r="18" spans="2:9">
      <c r="B18" t="s">
        <v>718</v>
      </c>
      <c r="C18" s="22">
        <v>44826.559999999998</v>
      </c>
      <c r="E18" s="775"/>
    </row>
    <row r="19" spans="2:9">
      <c r="B19" t="s">
        <v>1275</v>
      </c>
      <c r="C19" s="22">
        <v>38349.980000000003</v>
      </c>
      <c r="E19" s="775"/>
    </row>
    <row r="20" spans="2:9">
      <c r="B20" t="s">
        <v>1276</v>
      </c>
      <c r="C20" s="22">
        <v>9931.6200000000008</v>
      </c>
      <c r="E20" s="775"/>
    </row>
    <row r="21" spans="2:9">
      <c r="B21" t="s">
        <v>1277</v>
      </c>
      <c r="C21" s="22">
        <v>32594.05</v>
      </c>
      <c r="E21" s="775"/>
    </row>
    <row r="22" spans="2:9">
      <c r="B22" t="s">
        <v>1414</v>
      </c>
      <c r="C22" s="22">
        <v>-29116.629999999997</v>
      </c>
      <c r="E22" s="775"/>
    </row>
    <row r="23" spans="2:9">
      <c r="B23" t="s">
        <v>71</v>
      </c>
      <c r="C23" s="22">
        <v>88951.72</v>
      </c>
      <c r="E23" s="775"/>
    </row>
    <row r="24" spans="2:9">
      <c r="B24" t="s">
        <v>72</v>
      </c>
      <c r="C24" s="22">
        <v>-63486.54</v>
      </c>
      <c r="E24" s="775"/>
    </row>
    <row r="25" spans="2:9">
      <c r="B25" t="s">
        <v>135</v>
      </c>
      <c r="C25" s="22">
        <v>907431.02</v>
      </c>
      <c r="E25" s="775"/>
    </row>
    <row r="26" spans="2:9">
      <c r="B26" t="s">
        <v>136</v>
      </c>
      <c r="C26" s="22">
        <v>-637005.93000000005</v>
      </c>
      <c r="E26" s="775"/>
    </row>
    <row r="27" spans="2:9">
      <c r="B27" t="s">
        <v>1547</v>
      </c>
      <c r="C27" s="22">
        <v>874941.75</v>
      </c>
      <c r="E27" s="775"/>
    </row>
    <row r="28" spans="2:9">
      <c r="B28" t="s">
        <v>1548</v>
      </c>
      <c r="C28" s="22">
        <v>-503688.35</v>
      </c>
      <c r="E28" s="775"/>
    </row>
    <row r="29" spans="2:9">
      <c r="B29" t="s">
        <v>1279</v>
      </c>
      <c r="C29" s="22">
        <v>62250</v>
      </c>
      <c r="E29" s="775"/>
    </row>
    <row r="30" spans="2:9">
      <c r="B30" t="s">
        <v>1280</v>
      </c>
      <c r="C30" s="22">
        <v>-47550</v>
      </c>
      <c r="E30" s="775"/>
      <c r="I30" s="22"/>
    </row>
    <row r="31" spans="2:9">
      <c r="B31" t="s">
        <v>83</v>
      </c>
      <c r="C31" s="22">
        <v>-3520.4799999999996</v>
      </c>
      <c r="E31" s="775"/>
      <c r="I31" s="22"/>
    </row>
    <row r="32" spans="2:9">
      <c r="B32" t="s">
        <v>1601</v>
      </c>
      <c r="C32" s="22">
        <v>-7713.65</v>
      </c>
      <c r="E32" s="775"/>
      <c r="I32" s="22"/>
    </row>
    <row r="33" spans="2:11">
      <c r="B33" t="s">
        <v>336</v>
      </c>
      <c r="C33" s="22">
        <v>-313475.81</v>
      </c>
      <c r="E33" s="775"/>
      <c r="I33" s="22"/>
    </row>
    <row r="34" spans="2:11">
      <c r="B34" t="s">
        <v>85</v>
      </c>
      <c r="C34" s="22">
        <v>92285.98</v>
      </c>
      <c r="E34" s="775"/>
      <c r="I34" s="22"/>
    </row>
    <row r="35" spans="2:11">
      <c r="B35" t="s">
        <v>1281</v>
      </c>
      <c r="C35" s="22">
        <v>-16023.93</v>
      </c>
      <c r="E35" s="775"/>
      <c r="I35" s="22"/>
    </row>
    <row r="36" spans="2:11">
      <c r="B36" t="s">
        <v>337</v>
      </c>
      <c r="C36" s="22">
        <v>-2667</v>
      </c>
      <c r="E36" s="775"/>
      <c r="I36" s="22"/>
    </row>
    <row r="37" spans="2:11">
      <c r="B37" t="s">
        <v>87</v>
      </c>
      <c r="C37" s="22">
        <v>18284.12</v>
      </c>
      <c r="E37" s="775"/>
      <c r="I37" s="22"/>
    </row>
    <row r="38" spans="2:11">
      <c r="B38" t="s">
        <v>88</v>
      </c>
      <c r="C38" s="22">
        <v>-55662.51</v>
      </c>
      <c r="E38" s="775"/>
      <c r="I38" s="22"/>
    </row>
    <row r="39" spans="2:11">
      <c r="B39" t="s">
        <v>89</v>
      </c>
      <c r="C39" s="22">
        <v>-3108.75</v>
      </c>
      <c r="E39" s="775"/>
      <c r="I39" s="22"/>
      <c r="K39" s="22"/>
    </row>
    <row r="40" spans="2:11">
      <c r="B40" t="s">
        <v>1209</v>
      </c>
      <c r="C40" s="22">
        <v>318966.53999999998</v>
      </c>
      <c r="E40" s="775"/>
      <c r="K40" s="22"/>
    </row>
    <row r="41" spans="2:11">
      <c r="B41" t="s">
        <v>1596</v>
      </c>
      <c r="C41" s="22">
        <v>87341.03</v>
      </c>
      <c r="E41" s="775"/>
      <c r="I41" s="22"/>
      <c r="K41" s="22"/>
    </row>
    <row r="42" spans="2:11">
      <c r="B42" t="s">
        <v>1554</v>
      </c>
      <c r="C42" s="22">
        <v>-164955.4</v>
      </c>
      <c r="E42" s="775"/>
      <c r="I42" s="22"/>
      <c r="K42" s="22"/>
    </row>
    <row r="43" spans="2:11">
      <c r="B43" t="s">
        <v>526</v>
      </c>
      <c r="C43" s="22">
        <v>-110400</v>
      </c>
      <c r="E43" s="775"/>
      <c r="I43" s="22"/>
      <c r="K43" s="22"/>
    </row>
    <row r="44" spans="2:11">
      <c r="B44" t="s">
        <v>1282</v>
      </c>
      <c r="C44" s="22">
        <v>-22464</v>
      </c>
      <c r="E44" s="775"/>
      <c r="K44" s="22"/>
    </row>
    <row r="45" spans="2:11">
      <c r="B45" t="s">
        <v>523</v>
      </c>
      <c r="C45" s="22">
        <v>-394110.85</v>
      </c>
      <c r="E45" s="775"/>
      <c r="K45" s="22"/>
    </row>
    <row r="46" spans="2:11">
      <c r="B46" t="s">
        <v>1543</v>
      </c>
      <c r="C46" s="22">
        <v>110400</v>
      </c>
      <c r="E46" s="775"/>
      <c r="K46" s="22"/>
    </row>
    <row r="47" spans="2:11">
      <c r="B47" t="s">
        <v>1210</v>
      </c>
      <c r="C47" s="22">
        <v>182989</v>
      </c>
      <c r="E47" s="775"/>
      <c r="K47" s="22"/>
    </row>
    <row r="48" spans="2:11">
      <c r="B48" t="s">
        <v>339</v>
      </c>
      <c r="C48" s="22">
        <v>-105</v>
      </c>
      <c r="E48" s="775"/>
      <c r="K48" s="22"/>
    </row>
    <row r="49" spans="2:11">
      <c r="B49" t="s">
        <v>90</v>
      </c>
      <c r="C49" s="22">
        <v>-628827.28</v>
      </c>
      <c r="E49" s="775"/>
      <c r="K49" s="22"/>
    </row>
    <row r="50" spans="2:11">
      <c r="B50" t="s">
        <v>1251</v>
      </c>
      <c r="C50" s="22">
        <v>-5277962.03</v>
      </c>
      <c r="E50" s="775"/>
      <c r="K50" s="22"/>
    </row>
    <row r="51" spans="2:11">
      <c r="B51" t="s">
        <v>1283</v>
      </c>
      <c r="C51" s="22">
        <v>-556439.68000000005</v>
      </c>
      <c r="E51" s="775"/>
      <c r="K51" s="22"/>
    </row>
    <row r="52" spans="2:11">
      <c r="B52" t="s">
        <v>592</v>
      </c>
      <c r="C52" s="22">
        <v>-109486.56000000001</v>
      </c>
      <c r="E52" s="775"/>
      <c r="K52" s="22"/>
    </row>
    <row r="53" spans="2:11">
      <c r="B53" t="s">
        <v>1284</v>
      </c>
      <c r="C53" s="22">
        <v>-445743.23</v>
      </c>
      <c r="E53" s="775"/>
      <c r="K53" s="22"/>
    </row>
    <row r="54" spans="2:11">
      <c r="B54" t="s">
        <v>1252</v>
      </c>
      <c r="C54" s="22">
        <v>-380</v>
      </c>
      <c r="E54" s="775"/>
      <c r="K54" s="22"/>
    </row>
    <row r="55" spans="2:11">
      <c r="B55" t="s">
        <v>1253</v>
      </c>
      <c r="C55" s="22">
        <v>19472.05</v>
      </c>
      <c r="E55" s="775"/>
      <c r="K55" s="22"/>
    </row>
    <row r="56" spans="2:11">
      <c r="B56" t="s">
        <v>345</v>
      </c>
      <c r="C56" s="22">
        <v>13.08</v>
      </c>
      <c r="E56" s="775"/>
      <c r="K56" s="22"/>
    </row>
    <row r="57" spans="2:11">
      <c r="B57" t="s">
        <v>594</v>
      </c>
      <c r="C57" s="22">
        <v>109667.01</v>
      </c>
      <c r="E57" s="775"/>
    </row>
    <row r="58" spans="2:11">
      <c r="B58" t="s">
        <v>92</v>
      </c>
      <c r="C58" s="22">
        <v>-52510.859999999993</v>
      </c>
      <c r="E58" s="775"/>
    </row>
    <row r="59" spans="2:11">
      <c r="B59" t="s">
        <v>1019</v>
      </c>
      <c r="C59" s="22">
        <v>54736.17</v>
      </c>
      <c r="E59" s="775"/>
    </row>
    <row r="60" spans="2:11">
      <c r="B60" t="s">
        <v>1470</v>
      </c>
      <c r="C60" s="22">
        <v>-12350</v>
      </c>
      <c r="E60" s="775"/>
    </row>
    <row r="61" spans="2:11">
      <c r="B61" t="s">
        <v>1552</v>
      </c>
      <c r="C61" s="22">
        <v>-6265</v>
      </c>
      <c r="E61" s="775"/>
    </row>
    <row r="62" spans="2:11">
      <c r="B62" t="s">
        <v>364</v>
      </c>
      <c r="C62" s="22">
        <v>-421.71</v>
      </c>
      <c r="E62" s="775"/>
    </row>
    <row r="63" spans="2:11">
      <c r="B63" t="s">
        <v>1609</v>
      </c>
      <c r="C63" s="22">
        <v>115</v>
      </c>
      <c r="E63" s="775"/>
    </row>
    <row r="64" spans="2:11">
      <c r="B64" t="s">
        <v>1632</v>
      </c>
      <c r="C64" s="22">
        <v>115</v>
      </c>
      <c r="E64" s="775"/>
    </row>
    <row r="65" spans="2:5">
      <c r="B65" t="s">
        <v>284</v>
      </c>
      <c r="C65" s="22">
        <v>166053.86000000002</v>
      </c>
      <c r="E65" s="775"/>
    </row>
    <row r="66" spans="2:5">
      <c r="B66" t="s">
        <v>1285</v>
      </c>
      <c r="C66" s="22">
        <v>1392350.47</v>
      </c>
      <c r="E66" s="775"/>
    </row>
    <row r="67" spans="2:5">
      <c r="B67" t="s">
        <v>1286</v>
      </c>
      <c r="C67" s="22">
        <v>160423.6</v>
      </c>
      <c r="E67" s="775"/>
    </row>
    <row r="68" spans="2:5">
      <c r="B68" t="s">
        <v>1287</v>
      </c>
      <c r="C68" s="22">
        <v>2045727.52</v>
      </c>
      <c r="E68" s="775"/>
    </row>
    <row r="69" spans="2:5">
      <c r="B69" t="s">
        <v>1288</v>
      </c>
      <c r="C69" s="22">
        <v>39416.1</v>
      </c>
      <c r="E69" s="775"/>
    </row>
    <row r="70" spans="2:5">
      <c r="B70" t="s">
        <v>1289</v>
      </c>
      <c r="C70" s="22">
        <v>192845.39</v>
      </c>
      <c r="E70" s="775"/>
    </row>
    <row r="71" spans="2:5">
      <c r="B71" t="s">
        <v>1290</v>
      </c>
      <c r="C71" s="22">
        <v>13851.27</v>
      </c>
      <c r="E71" s="775"/>
    </row>
    <row r="72" spans="2:5">
      <c r="B72" t="s">
        <v>1291</v>
      </c>
      <c r="C72" s="22">
        <v>213665.01</v>
      </c>
      <c r="E72" s="775"/>
    </row>
    <row r="73" spans="2:5">
      <c r="B73" t="s">
        <v>1292</v>
      </c>
      <c r="C73" s="22">
        <v>32273.1</v>
      </c>
      <c r="E73" s="775"/>
    </row>
    <row r="74" spans="2:5">
      <c r="B74" t="s">
        <v>1293</v>
      </c>
      <c r="C74" s="22">
        <v>8786.6</v>
      </c>
      <c r="E74" s="775"/>
    </row>
    <row r="75" spans="2:5">
      <c r="B75" t="s">
        <v>1294</v>
      </c>
      <c r="C75" s="22">
        <v>25894.2</v>
      </c>
      <c r="E75" s="775"/>
    </row>
    <row r="76" spans="2:5">
      <c r="B76" t="s">
        <v>1260</v>
      </c>
      <c r="C76" s="22">
        <v>33577.35</v>
      </c>
      <c r="E76" s="775"/>
    </row>
    <row r="77" spans="2:5">
      <c r="B77" t="s">
        <v>1295</v>
      </c>
      <c r="C77" s="22">
        <v>810542.21</v>
      </c>
      <c r="E77" s="775"/>
    </row>
    <row r="78" spans="2:5">
      <c r="B78" t="s">
        <v>1296</v>
      </c>
      <c r="C78" s="22">
        <v>105801.37</v>
      </c>
      <c r="E78" s="775"/>
    </row>
    <row r="79" spans="2:5">
      <c r="B79" t="s">
        <v>1306</v>
      </c>
      <c r="C79" s="22">
        <v>4802.34</v>
      </c>
      <c r="E79" s="775"/>
    </row>
    <row r="80" spans="2:5">
      <c r="B80" t="s">
        <v>1261</v>
      </c>
      <c r="C80" s="22">
        <v>21450.46</v>
      </c>
      <c r="E80" s="775"/>
    </row>
    <row r="81" spans="2:5">
      <c r="B81" t="s">
        <v>1298</v>
      </c>
      <c r="C81" s="22">
        <v>283395.46000000002</v>
      </c>
      <c r="E81" s="775"/>
    </row>
    <row r="82" spans="2:5">
      <c r="B82" t="s">
        <v>1299</v>
      </c>
      <c r="C82" s="22">
        <v>24628.83</v>
      </c>
      <c r="E82" s="775"/>
    </row>
    <row r="83" spans="2:5">
      <c r="B83" t="s">
        <v>1300</v>
      </c>
      <c r="C83" s="22">
        <v>86776.81</v>
      </c>
      <c r="E83" s="775"/>
    </row>
    <row r="84" spans="2:5">
      <c r="B84" t="s">
        <v>1301</v>
      </c>
      <c r="C84" s="22">
        <v>9416.58</v>
      </c>
      <c r="E84" s="775"/>
    </row>
    <row r="85" spans="2:5">
      <c r="B85" t="s">
        <v>1557</v>
      </c>
      <c r="C85" s="22">
        <v>74904.679999999993</v>
      </c>
      <c r="E85" s="775"/>
    </row>
    <row r="86" spans="2:5">
      <c r="B86" t="s">
        <v>1302</v>
      </c>
      <c r="C86" s="22">
        <v>1904.57</v>
      </c>
      <c r="E86" s="775"/>
    </row>
    <row r="87" spans="2:5">
      <c r="B87" t="s">
        <v>1303</v>
      </c>
      <c r="C87" s="22">
        <v>83609.789999999994</v>
      </c>
      <c r="E87" s="775"/>
    </row>
    <row r="88" spans="2:5">
      <c r="B88" t="s">
        <v>1559</v>
      </c>
      <c r="C88" s="22">
        <v>31717.71</v>
      </c>
      <c r="E88" s="775"/>
    </row>
    <row r="89" spans="2:5">
      <c r="B89" t="s">
        <v>1603</v>
      </c>
      <c r="C89" s="22">
        <v>18616</v>
      </c>
      <c r="E89" s="775"/>
    </row>
    <row r="90" spans="2:5">
      <c r="B90" t="s">
        <v>1604</v>
      </c>
      <c r="C90" s="22">
        <v>19899.5</v>
      </c>
      <c r="E90" s="775"/>
    </row>
    <row r="91" spans="2:5">
      <c r="B91" t="s">
        <v>1605</v>
      </c>
      <c r="C91" s="22">
        <v>15290.11</v>
      </c>
      <c r="E91" s="775"/>
    </row>
    <row r="92" spans="2:5">
      <c r="B92" t="s">
        <v>1304</v>
      </c>
      <c r="C92" s="22">
        <v>30104.19</v>
      </c>
      <c r="E92" s="775"/>
    </row>
    <row r="93" spans="2:5">
      <c r="B93" t="s">
        <v>1305</v>
      </c>
      <c r="C93" s="22">
        <v>52201.16</v>
      </c>
      <c r="E93" s="775"/>
    </row>
    <row r="94" spans="2:5">
      <c r="B94" t="s">
        <v>1262</v>
      </c>
      <c r="C94" s="22">
        <v>5863.99</v>
      </c>
      <c r="E94" s="775"/>
    </row>
    <row r="95" spans="2:5">
      <c r="B95" t="s">
        <v>1263</v>
      </c>
      <c r="C95" s="22">
        <v>5697.21</v>
      </c>
      <c r="E95" s="775"/>
    </row>
    <row r="96" spans="2:5">
      <c r="B96" t="s">
        <v>1264</v>
      </c>
      <c r="C96" s="22">
        <v>42390.98</v>
      </c>
      <c r="E96" s="775"/>
    </row>
    <row r="97" spans="2:5">
      <c r="B97" t="s">
        <v>1265</v>
      </c>
      <c r="C97" s="22">
        <v>5116.1899999999996</v>
      </c>
      <c r="E97" s="775"/>
    </row>
    <row r="98" spans="2:5">
      <c r="B98" t="s">
        <v>1266</v>
      </c>
      <c r="C98" s="22">
        <v>14278.39</v>
      </c>
      <c r="E98" s="775"/>
    </row>
    <row r="99" spans="2:5">
      <c r="B99" t="s">
        <v>1267</v>
      </c>
      <c r="C99" s="22">
        <v>14476.64</v>
      </c>
      <c r="E99" s="775"/>
    </row>
    <row r="100" spans="2:5">
      <c r="B100" t="s">
        <v>1268</v>
      </c>
      <c r="C100" s="22">
        <v>14833.25</v>
      </c>
      <c r="E100" s="775"/>
    </row>
    <row r="101" spans="2:5">
      <c r="B101" t="s">
        <v>1561</v>
      </c>
      <c r="C101" s="22">
        <v>26138.959999999999</v>
      </c>
      <c r="E101" s="775"/>
    </row>
    <row r="102" spans="2:5">
      <c r="B102" t="s">
        <v>1269</v>
      </c>
      <c r="C102" s="22">
        <v>27820.74</v>
      </c>
      <c r="E102" s="775"/>
    </row>
    <row r="103" spans="2:5">
      <c r="B103" t="s">
        <v>1270</v>
      </c>
      <c r="C103" s="22">
        <v>13549.38</v>
      </c>
      <c r="E103" s="775"/>
    </row>
    <row r="104" spans="2:5">
      <c r="B104" t="s">
        <v>1271</v>
      </c>
      <c r="C104" s="22">
        <v>6931.72</v>
      </c>
      <c r="E104" s="775"/>
    </row>
    <row r="105" spans="2:5">
      <c r="B105" t="s">
        <v>1272</v>
      </c>
      <c r="C105" s="22">
        <v>12131.08</v>
      </c>
      <c r="E105" s="775"/>
    </row>
    <row r="106" spans="2:5">
      <c r="B106" t="s">
        <v>1273</v>
      </c>
      <c r="C106" s="22">
        <v>7527.12</v>
      </c>
      <c r="E106" s="775"/>
    </row>
    <row r="107" spans="2:5">
      <c r="B107" t="s">
        <v>1654</v>
      </c>
      <c r="C107" s="22">
        <v>-7325.7400000000016</v>
      </c>
      <c r="E107" s="775"/>
    </row>
    <row r="108" spans="2:5">
      <c r="B108" t="s">
        <v>148</v>
      </c>
      <c r="C108" s="22">
        <v>5.0840753829106688E-10</v>
      </c>
    </row>
    <row r="111" spans="2:5">
      <c r="C111" s="22">
        <f>SUM(C50:C104)</f>
        <v>-100417.07000000081</v>
      </c>
    </row>
    <row r="159" spans="9:9">
      <c r="I159" s="22">
        <v>0</v>
      </c>
    </row>
    <row r="160" spans="9:9">
      <c r="I160" s="22">
        <v>0</v>
      </c>
    </row>
    <row r="161" spans="9:9">
      <c r="I161" s="22">
        <v>0</v>
      </c>
    </row>
  </sheetData>
  <mergeCells count="4">
    <mergeCell ref="B2:D2"/>
    <mergeCell ref="B3:D3"/>
    <mergeCell ref="B4:D4"/>
    <mergeCell ref="B6:D6"/>
  </mergeCells>
  <hyperlinks>
    <hyperlink ref="A1" location="'TABLE OF CONTENTS'!A1" display="INDEX" xr:uid="{C5C0A540-EFB4-4D34-9437-8682D2F8DE56}"/>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7E8DF-CF2B-4D9A-8FB8-CB59ADC9F1E4}">
  <sheetPr codeName="Sheet15">
    <tabColor rgb="FF00B050"/>
  </sheetPr>
  <dimension ref="A1:J584"/>
  <sheetViews>
    <sheetView workbookViewId="0"/>
  </sheetViews>
  <sheetFormatPr defaultRowHeight="12.75"/>
  <cols>
    <col min="2" max="2" width="42.85546875" bestFit="1" customWidth="1"/>
    <col min="3" max="3" width="14.42578125" style="22" customWidth="1"/>
    <col min="4" max="4" width="16.7109375" customWidth="1"/>
    <col min="5" max="5" width="11" bestFit="1" customWidth="1"/>
    <col min="6" max="6" width="16.140625" bestFit="1" customWidth="1"/>
    <col min="7" max="7" width="15.7109375" bestFit="1" customWidth="1"/>
  </cols>
  <sheetData>
    <row r="1" spans="1:10">
      <c r="A1" s="59" t="s">
        <v>1650</v>
      </c>
      <c r="B1" s="196"/>
      <c r="C1" s="196" t="str">
        <f>B4</f>
        <v xml:space="preserve">GENERAL LEDGER </v>
      </c>
      <c r="D1" s="518"/>
      <c r="E1" s="518"/>
      <c r="F1" s="518"/>
      <c r="G1" s="519"/>
      <c r="H1" s="519"/>
    </row>
    <row r="2" spans="1:10">
      <c r="A2" s="520"/>
      <c r="B2" s="1288" t="str">
        <f>UPPER(COA!B2)</f>
        <v>ANONYMOUS COMPANY</v>
      </c>
      <c r="C2" s="1288"/>
      <c r="D2" s="1288"/>
      <c r="E2" s="1288"/>
      <c r="F2" s="1288"/>
      <c r="G2" s="1288"/>
      <c r="H2" s="1288"/>
      <c r="I2" s="1288"/>
      <c r="J2" s="290" t="s">
        <v>1393</v>
      </c>
    </row>
    <row r="3" spans="1:10">
      <c r="A3" s="520"/>
      <c r="B3" s="1289" t="str">
        <f>"FOR THE YEAR ENDED "&amp;UPPER(TEXT(COA!$B$4,"MMMM DD, YYYY"))</f>
        <v>FOR THE YEAR ENDED DECEMBER 31, 2025</v>
      </c>
      <c r="C3" s="1289"/>
      <c r="D3" s="1289"/>
      <c r="E3" s="1289"/>
      <c r="F3" s="1289"/>
      <c r="G3" s="1289"/>
      <c r="H3" s="1289"/>
      <c r="I3" s="1289"/>
      <c r="J3" s="519"/>
    </row>
    <row r="4" spans="1:10">
      <c r="A4" s="520"/>
      <c r="B4" s="1290" t="s">
        <v>1392</v>
      </c>
      <c r="C4" s="1290"/>
      <c r="D4" s="1290"/>
      <c r="E4" s="1290"/>
      <c r="F4" s="1290"/>
      <c r="G4" s="1290"/>
      <c r="H4" s="1290"/>
      <c r="I4" s="1290"/>
      <c r="J4" s="519"/>
    </row>
    <row r="5" spans="1:10" ht="13.5" thickBot="1">
      <c r="A5" s="520"/>
      <c r="B5" s="228"/>
      <c r="C5" s="521"/>
      <c r="D5" s="521"/>
      <c r="E5" s="521"/>
      <c r="F5" s="521"/>
      <c r="G5" s="522"/>
      <c r="H5" s="228"/>
      <c r="I5" s="522"/>
      <c r="J5" s="519"/>
    </row>
    <row r="6" spans="1:10" ht="23.25" customHeight="1" thickBot="1">
      <c r="A6" s="520"/>
      <c r="B6" s="1291" t="s">
        <v>1394</v>
      </c>
      <c r="C6" s="1291"/>
      <c r="D6" s="1291"/>
      <c r="E6" s="1291"/>
      <c r="F6" s="1291"/>
      <c r="G6" s="1291"/>
      <c r="H6" s="1291"/>
      <c r="I6" s="1291"/>
      <c r="J6" s="519"/>
    </row>
    <row r="8" spans="1:10">
      <c r="C8" s="52" t="s">
        <v>746</v>
      </c>
    </row>
    <row r="9" spans="1:10">
      <c r="B9" s="360" t="s">
        <v>10</v>
      </c>
      <c r="C9" s="360" t="s">
        <v>8</v>
      </c>
      <c r="D9" s="360" t="s">
        <v>7</v>
      </c>
      <c r="E9" s="360" t="s">
        <v>6</v>
      </c>
      <c r="F9" s="22" t="s">
        <v>543</v>
      </c>
    </row>
    <row r="10" spans="1:10">
      <c r="B10" t="s">
        <v>1274</v>
      </c>
      <c r="C10" t="s">
        <v>259</v>
      </c>
      <c r="D10" s="105">
        <v>45657</v>
      </c>
      <c r="E10" t="s">
        <v>149</v>
      </c>
      <c r="F10" s="22">
        <v>24875.53</v>
      </c>
    </row>
    <row r="11" spans="1:10">
      <c r="B11" t="s">
        <v>1307</v>
      </c>
      <c r="C11"/>
      <c r="F11" s="22">
        <v>24875.53</v>
      </c>
    </row>
    <row r="12" spans="1:10">
      <c r="B12" t="s">
        <v>80</v>
      </c>
      <c r="C12" t="s">
        <v>259</v>
      </c>
      <c r="D12" s="105">
        <v>45657</v>
      </c>
      <c r="E12" t="s">
        <v>149</v>
      </c>
      <c r="F12" s="22">
        <v>63334.97</v>
      </c>
    </row>
    <row r="13" spans="1:10">
      <c r="C13" t="s">
        <v>1620</v>
      </c>
      <c r="D13" s="105">
        <v>46022</v>
      </c>
      <c r="E13" t="s">
        <v>96</v>
      </c>
      <c r="F13" s="22">
        <v>15261.25</v>
      </c>
    </row>
    <row r="14" spans="1:10">
      <c r="C14" t="s">
        <v>1622</v>
      </c>
      <c r="D14" s="105">
        <v>221338</v>
      </c>
      <c r="E14" t="s">
        <v>674</v>
      </c>
      <c r="F14" s="22">
        <v>-26288.18</v>
      </c>
    </row>
    <row r="15" spans="1:10">
      <c r="B15" t="s">
        <v>725</v>
      </c>
      <c r="C15"/>
      <c r="F15" s="22">
        <v>52308.04</v>
      </c>
    </row>
    <row r="16" spans="1:10">
      <c r="B16" t="s">
        <v>24</v>
      </c>
      <c r="C16" t="s">
        <v>1592</v>
      </c>
      <c r="D16" s="105">
        <v>45658</v>
      </c>
      <c r="E16" t="s">
        <v>1017</v>
      </c>
      <c r="F16" s="22">
        <v>176.75</v>
      </c>
    </row>
    <row r="17" spans="2:6">
      <c r="C17"/>
      <c r="E17" t="s">
        <v>1018</v>
      </c>
      <c r="F17" s="22">
        <v>-2778.58</v>
      </c>
    </row>
    <row r="18" spans="2:6">
      <c r="C18" t="s">
        <v>1593</v>
      </c>
      <c r="D18" s="105">
        <v>45658</v>
      </c>
      <c r="E18" t="s">
        <v>1017</v>
      </c>
      <c r="F18" s="22">
        <v>-94233.04</v>
      </c>
    </row>
    <row r="19" spans="2:6">
      <c r="C19"/>
      <c r="E19" t="s">
        <v>1018</v>
      </c>
      <c r="F19" s="22">
        <v>-22661.040000000001</v>
      </c>
    </row>
    <row r="20" spans="2:6">
      <c r="C20" t="s">
        <v>1594</v>
      </c>
      <c r="D20" s="105">
        <v>45658</v>
      </c>
      <c r="E20" t="s">
        <v>1017</v>
      </c>
      <c r="F20" s="22">
        <v>94056.29</v>
      </c>
    </row>
    <row r="21" spans="2:6">
      <c r="C21"/>
      <c r="E21" t="s">
        <v>1018</v>
      </c>
      <c r="F21" s="22">
        <v>25439.62</v>
      </c>
    </row>
    <row r="22" spans="2:6">
      <c r="B22" t="s">
        <v>1595</v>
      </c>
      <c r="C22"/>
      <c r="F22" s="22">
        <v>0</v>
      </c>
    </row>
    <row r="23" spans="2:6">
      <c r="B23" t="s">
        <v>853</v>
      </c>
      <c r="C23" t="s">
        <v>259</v>
      </c>
      <c r="D23" s="105">
        <v>45657</v>
      </c>
      <c r="E23" t="s">
        <v>149</v>
      </c>
      <c r="F23" s="22">
        <v>2778.58</v>
      </c>
    </row>
    <row r="24" spans="2:6">
      <c r="C24" t="s">
        <v>1021</v>
      </c>
      <c r="D24" s="105">
        <v>46022</v>
      </c>
      <c r="E24" t="s">
        <v>1018</v>
      </c>
      <c r="F24" s="22">
        <v>-112934.77</v>
      </c>
    </row>
    <row r="25" spans="2:6">
      <c r="C25" t="s">
        <v>1022</v>
      </c>
      <c r="D25" s="105">
        <v>46022</v>
      </c>
      <c r="E25" t="s">
        <v>1018</v>
      </c>
      <c r="F25" s="22">
        <v>110311.24</v>
      </c>
    </row>
    <row r="26" spans="2:6">
      <c r="B26" t="s">
        <v>857</v>
      </c>
      <c r="C26"/>
      <c r="F26" s="22">
        <v>155.05000000000291</v>
      </c>
    </row>
    <row r="27" spans="2:6">
      <c r="B27" t="s">
        <v>854</v>
      </c>
      <c r="C27" t="s">
        <v>259</v>
      </c>
      <c r="D27" s="105">
        <v>45657</v>
      </c>
      <c r="E27" t="s">
        <v>149</v>
      </c>
      <c r="F27" s="22">
        <v>176.75</v>
      </c>
    </row>
    <row r="28" spans="2:6">
      <c r="C28" t="s">
        <v>1021</v>
      </c>
      <c r="D28" s="105">
        <v>46022</v>
      </c>
      <c r="E28" t="s">
        <v>1017</v>
      </c>
      <c r="F28" s="22">
        <v>-74940.06</v>
      </c>
    </row>
    <row r="29" spans="2:6">
      <c r="C29" t="s">
        <v>1022</v>
      </c>
      <c r="D29" s="105">
        <v>46022</v>
      </c>
      <c r="E29" t="s">
        <v>1017</v>
      </c>
      <c r="F29" s="22">
        <v>52510.86</v>
      </c>
    </row>
    <row r="30" spans="2:6">
      <c r="B30" t="s">
        <v>858</v>
      </c>
      <c r="C30"/>
      <c r="F30" s="22">
        <v>-22252.449999999997</v>
      </c>
    </row>
    <row r="31" spans="2:6">
      <c r="B31" t="s">
        <v>855</v>
      </c>
      <c r="C31" t="s">
        <v>259</v>
      </c>
      <c r="D31" s="105">
        <v>45657</v>
      </c>
      <c r="E31" t="s">
        <v>149</v>
      </c>
      <c r="F31" s="22">
        <v>22661.040000000001</v>
      </c>
    </row>
    <row r="32" spans="2:6">
      <c r="C32" t="s">
        <v>1032</v>
      </c>
      <c r="D32" s="105">
        <v>45659</v>
      </c>
      <c r="E32" t="s">
        <v>1018</v>
      </c>
      <c r="F32" s="22">
        <v>7.64</v>
      </c>
    </row>
    <row r="33" spans="3:6">
      <c r="C33" t="s">
        <v>1040</v>
      </c>
      <c r="D33" s="105">
        <v>45679</v>
      </c>
      <c r="E33" t="s">
        <v>1018</v>
      </c>
      <c r="F33" s="22">
        <v>15011.33</v>
      </c>
    </row>
    <row r="34" spans="3:6">
      <c r="C34" t="s">
        <v>1026</v>
      </c>
      <c r="D34" s="105">
        <v>45686</v>
      </c>
      <c r="E34" t="s">
        <v>1018</v>
      </c>
      <c r="F34" s="22">
        <v>12079.18</v>
      </c>
    </row>
    <row r="35" spans="3:6">
      <c r="C35" t="s">
        <v>1027</v>
      </c>
      <c r="D35" s="105">
        <v>45686</v>
      </c>
      <c r="E35" t="s">
        <v>1018</v>
      </c>
      <c r="F35" s="22">
        <v>3541.84</v>
      </c>
    </row>
    <row r="36" spans="3:6">
      <c r="C36" t="s">
        <v>1041</v>
      </c>
      <c r="D36" s="105">
        <v>45687</v>
      </c>
      <c r="E36" t="s">
        <v>1018</v>
      </c>
      <c r="F36" s="22">
        <v>6151.37</v>
      </c>
    </row>
    <row r="37" spans="3:6">
      <c r="C37" t="s">
        <v>1030</v>
      </c>
      <c r="D37" s="105">
        <v>45687</v>
      </c>
      <c r="E37" t="s">
        <v>1018</v>
      </c>
      <c r="F37" s="22">
        <v>5749.84</v>
      </c>
    </row>
    <row r="38" spans="3:6">
      <c r="C38" t="s">
        <v>1427</v>
      </c>
      <c r="D38" s="105">
        <v>45693</v>
      </c>
      <c r="E38" t="s">
        <v>1018</v>
      </c>
      <c r="F38" s="22">
        <v>8890.5400000000009</v>
      </c>
    </row>
    <row r="39" spans="3:6">
      <c r="C39" t="s">
        <v>1428</v>
      </c>
      <c r="D39" s="105">
        <v>45698</v>
      </c>
      <c r="E39" t="s">
        <v>1018</v>
      </c>
      <c r="F39" s="22">
        <v>6079.31</v>
      </c>
    </row>
    <row r="40" spans="3:6">
      <c r="C40" t="s">
        <v>1429</v>
      </c>
      <c r="D40" s="105">
        <v>45702</v>
      </c>
      <c r="E40" t="s">
        <v>1018</v>
      </c>
      <c r="F40" s="22">
        <v>489</v>
      </c>
    </row>
    <row r="41" spans="3:6">
      <c r="C41" t="s">
        <v>1430</v>
      </c>
      <c r="D41" s="105">
        <v>45709</v>
      </c>
      <c r="E41" t="s">
        <v>1018</v>
      </c>
      <c r="F41" s="22">
        <v>15619.8</v>
      </c>
    </row>
    <row r="42" spans="3:6">
      <c r="C42" t="s">
        <v>1431</v>
      </c>
      <c r="D42" s="105">
        <v>45719</v>
      </c>
      <c r="E42" t="s">
        <v>1018</v>
      </c>
      <c r="F42" s="22">
        <v>4816.12</v>
      </c>
    </row>
    <row r="43" spans="3:6">
      <c r="C43" t="s">
        <v>1432</v>
      </c>
      <c r="D43" s="105">
        <v>45768</v>
      </c>
      <c r="E43" t="s">
        <v>1018</v>
      </c>
      <c r="F43" s="22">
        <v>4.45</v>
      </c>
    </row>
    <row r="44" spans="3:6">
      <c r="C44" t="s">
        <v>1433</v>
      </c>
      <c r="D44" s="105">
        <v>45798</v>
      </c>
      <c r="E44" t="s">
        <v>1018</v>
      </c>
      <c r="F44" s="22">
        <v>10423.99</v>
      </c>
    </row>
    <row r="45" spans="3:6">
      <c r="C45" t="s">
        <v>1434</v>
      </c>
      <c r="D45" s="105">
        <v>45798</v>
      </c>
      <c r="E45" t="s">
        <v>1018</v>
      </c>
      <c r="F45" s="22">
        <v>7017.99</v>
      </c>
    </row>
    <row r="46" spans="3:6">
      <c r="C46" t="s">
        <v>1435</v>
      </c>
      <c r="D46" s="105">
        <v>45798</v>
      </c>
      <c r="E46" t="s">
        <v>1018</v>
      </c>
      <c r="F46" s="22">
        <v>3270.59</v>
      </c>
    </row>
    <row r="47" spans="3:6">
      <c r="C47" t="s">
        <v>1436</v>
      </c>
      <c r="D47" s="105">
        <v>45826</v>
      </c>
      <c r="E47" t="s">
        <v>1018</v>
      </c>
      <c r="F47" s="22">
        <v>17.77</v>
      </c>
    </row>
    <row r="48" spans="3:6">
      <c r="C48" t="s">
        <v>1437</v>
      </c>
      <c r="D48" s="105">
        <v>45807</v>
      </c>
      <c r="E48" t="s">
        <v>1018</v>
      </c>
      <c r="F48" s="22">
        <v>103.74</v>
      </c>
    </row>
    <row r="49" spans="2:6">
      <c r="C49" t="s">
        <v>1438</v>
      </c>
      <c r="D49" s="105">
        <v>45807</v>
      </c>
      <c r="E49" t="s">
        <v>1018</v>
      </c>
      <c r="F49" s="22">
        <v>18.420000000000002</v>
      </c>
    </row>
    <row r="50" spans="2:6">
      <c r="C50" t="s">
        <v>1031</v>
      </c>
      <c r="D50" s="105">
        <v>46022</v>
      </c>
      <c r="E50" t="s">
        <v>1018</v>
      </c>
      <c r="F50" s="22">
        <v>-109667.01</v>
      </c>
    </row>
    <row r="51" spans="2:6">
      <c r="C51" t="s">
        <v>1211</v>
      </c>
      <c r="D51" s="105">
        <v>45671</v>
      </c>
      <c r="E51" t="s">
        <v>1018</v>
      </c>
      <c r="F51" s="22">
        <v>13625.8</v>
      </c>
    </row>
    <row r="52" spans="2:6">
      <c r="B52" t="s">
        <v>859</v>
      </c>
      <c r="C52"/>
      <c r="F52" s="22">
        <v>25912.750000000011</v>
      </c>
    </row>
    <row r="53" spans="2:6">
      <c r="B53" t="s">
        <v>856</v>
      </c>
      <c r="C53" t="s">
        <v>259</v>
      </c>
      <c r="D53" s="105">
        <v>45657</v>
      </c>
      <c r="E53" t="s">
        <v>149</v>
      </c>
      <c r="F53" s="22">
        <v>94233.04</v>
      </c>
    </row>
    <row r="54" spans="2:6">
      <c r="C54" t="s">
        <v>1023</v>
      </c>
      <c r="D54" s="105">
        <v>45670</v>
      </c>
      <c r="E54" t="s">
        <v>1017</v>
      </c>
      <c r="F54" s="22">
        <v>10398.98</v>
      </c>
    </row>
    <row r="55" spans="2:6">
      <c r="C55" t="s">
        <v>1024</v>
      </c>
      <c r="D55" s="105">
        <v>45670</v>
      </c>
      <c r="E55" t="s">
        <v>1017</v>
      </c>
      <c r="F55" s="22">
        <v>10416.99</v>
      </c>
    </row>
    <row r="56" spans="2:6">
      <c r="C56" t="s">
        <v>1037</v>
      </c>
      <c r="D56" s="105">
        <v>45908</v>
      </c>
      <c r="E56" t="s">
        <v>1017</v>
      </c>
      <c r="F56" s="22">
        <v>10398.98</v>
      </c>
    </row>
    <row r="57" spans="2:6">
      <c r="C57" t="s">
        <v>1038</v>
      </c>
      <c r="D57" s="105">
        <v>45908</v>
      </c>
      <c r="E57" t="s">
        <v>1017</v>
      </c>
      <c r="F57" s="22">
        <v>11108.71</v>
      </c>
    </row>
    <row r="58" spans="2:6">
      <c r="C58" t="s">
        <v>1039</v>
      </c>
      <c r="D58" s="105">
        <v>45908</v>
      </c>
      <c r="E58" t="s">
        <v>1017</v>
      </c>
      <c r="F58" s="22">
        <v>11108.71</v>
      </c>
    </row>
    <row r="59" spans="2:6">
      <c r="C59" t="s">
        <v>1040</v>
      </c>
      <c r="D59" s="105">
        <v>45908</v>
      </c>
      <c r="E59" t="s">
        <v>1017</v>
      </c>
      <c r="F59" s="22">
        <v>11108.71</v>
      </c>
    </row>
    <row r="60" spans="2:6">
      <c r="C60" t="s">
        <v>1025</v>
      </c>
      <c r="D60" s="105">
        <v>45908</v>
      </c>
      <c r="E60" t="s">
        <v>1017</v>
      </c>
      <c r="F60" s="22">
        <v>10398.98</v>
      </c>
    </row>
    <row r="61" spans="2:6">
      <c r="C61" t="s">
        <v>1031</v>
      </c>
      <c r="D61" s="105">
        <v>46022</v>
      </c>
      <c r="E61" t="s">
        <v>1017</v>
      </c>
      <c r="F61" s="22">
        <v>-54736.17</v>
      </c>
    </row>
    <row r="62" spans="2:6">
      <c r="B62" t="s">
        <v>860</v>
      </c>
      <c r="C62"/>
      <c r="F62" s="22">
        <v>114436.92999999998</v>
      </c>
    </row>
    <row r="63" spans="2:6">
      <c r="B63" t="s">
        <v>81</v>
      </c>
      <c r="C63" t="s">
        <v>1439</v>
      </c>
      <c r="D63" s="105">
        <v>45688</v>
      </c>
      <c r="E63" t="s">
        <v>1018</v>
      </c>
      <c r="F63" s="22">
        <v>-200</v>
      </c>
    </row>
    <row r="64" spans="2:6">
      <c r="C64" t="s">
        <v>1471</v>
      </c>
      <c r="D64" s="105">
        <v>45904</v>
      </c>
      <c r="E64" t="s">
        <v>1468</v>
      </c>
      <c r="F64" s="22">
        <v>18615</v>
      </c>
    </row>
    <row r="65" spans="2:6">
      <c r="B65" t="s">
        <v>1440</v>
      </c>
      <c r="C65"/>
      <c r="F65" s="22">
        <v>18415</v>
      </c>
    </row>
    <row r="66" spans="2:6">
      <c r="B66" t="s">
        <v>82</v>
      </c>
      <c r="C66" t="s">
        <v>1612</v>
      </c>
      <c r="D66" s="105">
        <v>45760</v>
      </c>
      <c r="E66" t="s">
        <v>96</v>
      </c>
      <c r="F66" s="22">
        <v>-3450</v>
      </c>
    </row>
    <row r="67" spans="2:6">
      <c r="C67" t="s">
        <v>1613</v>
      </c>
      <c r="D67" s="105">
        <v>45745</v>
      </c>
      <c r="E67" t="s">
        <v>96</v>
      </c>
      <c r="F67" s="22">
        <v>-1811.25</v>
      </c>
    </row>
    <row r="68" spans="2:6">
      <c r="C68" t="s">
        <v>1614</v>
      </c>
      <c r="D68" s="105">
        <v>45782</v>
      </c>
      <c r="E68" t="s">
        <v>96</v>
      </c>
      <c r="F68" s="22">
        <v>-10000</v>
      </c>
    </row>
    <row r="69" spans="2:6">
      <c r="C69" t="s">
        <v>1640</v>
      </c>
      <c r="D69" s="105">
        <v>221338</v>
      </c>
      <c r="E69" t="s">
        <v>150</v>
      </c>
      <c r="F69" s="22">
        <v>23833.75</v>
      </c>
    </row>
    <row r="70" spans="2:6">
      <c r="B70" t="s">
        <v>726</v>
      </c>
      <c r="C70"/>
      <c r="F70" s="22">
        <v>8572.5</v>
      </c>
    </row>
    <row r="71" spans="2:6">
      <c r="B71" t="s">
        <v>718</v>
      </c>
      <c r="C71" t="s">
        <v>259</v>
      </c>
      <c r="D71" s="105">
        <v>45657</v>
      </c>
      <c r="E71" t="s">
        <v>149</v>
      </c>
      <c r="F71" s="22">
        <v>16076.56</v>
      </c>
    </row>
    <row r="72" spans="2:6">
      <c r="C72" t="s">
        <v>1661</v>
      </c>
      <c r="D72" s="105">
        <v>45953</v>
      </c>
      <c r="E72" t="s">
        <v>1468</v>
      </c>
      <c r="F72" s="22">
        <v>28750</v>
      </c>
    </row>
    <row r="73" spans="2:6">
      <c r="B73" t="s">
        <v>727</v>
      </c>
      <c r="C73"/>
      <c r="F73" s="22">
        <v>44826.559999999998</v>
      </c>
    </row>
    <row r="74" spans="2:6">
      <c r="B74" t="s">
        <v>1275</v>
      </c>
      <c r="C74" t="s">
        <v>259</v>
      </c>
      <c r="D74" s="105">
        <v>45657</v>
      </c>
      <c r="E74" t="s">
        <v>149</v>
      </c>
      <c r="F74" s="22">
        <v>38349.980000000003</v>
      </c>
    </row>
    <row r="75" spans="2:6">
      <c r="B75" t="s">
        <v>1308</v>
      </c>
      <c r="C75"/>
      <c r="F75" s="22">
        <v>38349.980000000003</v>
      </c>
    </row>
    <row r="76" spans="2:6">
      <c r="B76" t="s">
        <v>1276</v>
      </c>
      <c r="C76" t="s">
        <v>259</v>
      </c>
      <c r="D76" s="105">
        <v>45657</v>
      </c>
      <c r="E76" t="s">
        <v>149</v>
      </c>
      <c r="F76" s="22">
        <v>9931.6200000000008</v>
      </c>
    </row>
    <row r="77" spans="2:6">
      <c r="B77" t="s">
        <v>1309</v>
      </c>
      <c r="C77"/>
      <c r="F77" s="22">
        <v>9931.6200000000008</v>
      </c>
    </row>
    <row r="78" spans="2:6">
      <c r="B78" t="s">
        <v>1277</v>
      </c>
      <c r="C78" t="s">
        <v>259</v>
      </c>
      <c r="D78" s="105">
        <v>45657</v>
      </c>
      <c r="E78" t="s">
        <v>149</v>
      </c>
      <c r="F78" s="22">
        <v>62299</v>
      </c>
    </row>
    <row r="79" spans="2:6">
      <c r="C79" t="s">
        <v>1661</v>
      </c>
      <c r="D79" s="105">
        <v>45953</v>
      </c>
      <c r="E79" t="s">
        <v>1468</v>
      </c>
      <c r="F79" s="22">
        <v>-29704.95</v>
      </c>
    </row>
    <row r="80" spans="2:6">
      <c r="B80" t="s">
        <v>1310</v>
      </c>
      <c r="C80"/>
      <c r="F80" s="22">
        <v>32594.05</v>
      </c>
    </row>
    <row r="81" spans="2:6">
      <c r="B81" t="s">
        <v>1414</v>
      </c>
      <c r="C81" t="s">
        <v>259</v>
      </c>
      <c r="D81" s="105">
        <v>45657</v>
      </c>
      <c r="E81" t="s">
        <v>149</v>
      </c>
      <c r="F81" s="22">
        <v>-39657</v>
      </c>
    </row>
    <row r="82" spans="2:6">
      <c r="C82" t="s">
        <v>1661</v>
      </c>
      <c r="D82" s="105">
        <v>45953</v>
      </c>
      <c r="E82" t="s">
        <v>1468</v>
      </c>
      <c r="F82" s="22">
        <v>12030.69</v>
      </c>
    </row>
    <row r="83" spans="2:6">
      <c r="C83" t="s">
        <v>1662</v>
      </c>
      <c r="D83" s="105">
        <v>45953</v>
      </c>
      <c r="E83" t="s">
        <v>1468</v>
      </c>
      <c r="F83" s="22">
        <v>-1490.32</v>
      </c>
    </row>
    <row r="84" spans="2:6">
      <c r="B84" t="s">
        <v>1416</v>
      </c>
      <c r="C84"/>
      <c r="F84" s="22">
        <v>-29116.629999999997</v>
      </c>
    </row>
    <row r="85" spans="2:6">
      <c r="B85" t="s">
        <v>71</v>
      </c>
      <c r="C85" t="s">
        <v>259</v>
      </c>
      <c r="D85" s="105">
        <v>45657</v>
      </c>
      <c r="E85" t="s">
        <v>149</v>
      </c>
      <c r="F85" s="22">
        <v>88951.72</v>
      </c>
    </row>
    <row r="86" spans="2:6">
      <c r="B86" t="s">
        <v>728</v>
      </c>
      <c r="C86"/>
      <c r="F86" s="22">
        <v>88951.72</v>
      </c>
    </row>
    <row r="87" spans="2:6">
      <c r="B87" t="s">
        <v>72</v>
      </c>
      <c r="C87" t="s">
        <v>259</v>
      </c>
      <c r="D87" s="105">
        <v>45657</v>
      </c>
      <c r="E87" t="s">
        <v>149</v>
      </c>
      <c r="F87" s="22">
        <v>-63486.54</v>
      </c>
    </row>
    <row r="88" spans="2:6">
      <c r="B88" t="s">
        <v>729</v>
      </c>
      <c r="C88"/>
      <c r="F88" s="22">
        <v>-63486.54</v>
      </c>
    </row>
    <row r="89" spans="2:6">
      <c r="B89" t="s">
        <v>135</v>
      </c>
      <c r="C89" t="s">
        <v>259</v>
      </c>
      <c r="D89" s="105">
        <v>45657</v>
      </c>
      <c r="E89" t="s">
        <v>149</v>
      </c>
      <c r="F89" s="22">
        <v>907431.02</v>
      </c>
    </row>
    <row r="90" spans="2:6">
      <c r="B90" t="s">
        <v>730</v>
      </c>
      <c r="C90"/>
      <c r="F90" s="22">
        <v>907431.02</v>
      </c>
    </row>
    <row r="91" spans="2:6">
      <c r="B91" t="s">
        <v>136</v>
      </c>
      <c r="C91" t="s">
        <v>259</v>
      </c>
      <c r="D91" s="105">
        <v>45657</v>
      </c>
      <c r="E91" t="s">
        <v>149</v>
      </c>
      <c r="F91" s="22">
        <v>-637005.93000000005</v>
      </c>
    </row>
    <row r="92" spans="2:6">
      <c r="B92" t="s">
        <v>731</v>
      </c>
      <c r="C92"/>
      <c r="F92" s="22">
        <v>-637005.93000000005</v>
      </c>
    </row>
    <row r="93" spans="2:6">
      <c r="B93" t="s">
        <v>1547</v>
      </c>
      <c r="C93" t="s">
        <v>259</v>
      </c>
      <c r="D93" s="105">
        <v>45657</v>
      </c>
      <c r="E93" t="s">
        <v>149</v>
      </c>
      <c r="F93" s="22">
        <v>874941.75</v>
      </c>
    </row>
    <row r="94" spans="2:6">
      <c r="B94" t="s">
        <v>1549</v>
      </c>
      <c r="C94"/>
      <c r="F94" s="22">
        <v>874941.75</v>
      </c>
    </row>
    <row r="95" spans="2:6">
      <c r="B95" t="s">
        <v>1548</v>
      </c>
      <c r="C95" t="s">
        <v>259</v>
      </c>
      <c r="D95" s="105">
        <v>45657</v>
      </c>
      <c r="E95" t="s">
        <v>149</v>
      </c>
      <c r="F95" s="22">
        <v>-503688.35</v>
      </c>
    </row>
    <row r="96" spans="2:6">
      <c r="B96" t="s">
        <v>1550</v>
      </c>
      <c r="C96"/>
      <c r="F96" s="22">
        <v>-503688.35</v>
      </c>
    </row>
    <row r="97" spans="2:6">
      <c r="B97" t="s">
        <v>1279</v>
      </c>
      <c r="C97" t="s">
        <v>259</v>
      </c>
      <c r="D97" s="105">
        <v>45657</v>
      </c>
      <c r="E97" t="s">
        <v>149</v>
      </c>
      <c r="F97" s="22">
        <v>62250</v>
      </c>
    </row>
    <row r="98" spans="2:6">
      <c r="B98" t="s">
        <v>1311</v>
      </c>
      <c r="C98"/>
      <c r="F98" s="22">
        <v>62250</v>
      </c>
    </row>
    <row r="99" spans="2:6">
      <c r="B99" t="s">
        <v>1280</v>
      </c>
      <c r="C99" t="s">
        <v>259</v>
      </c>
      <c r="D99" s="105">
        <v>45657</v>
      </c>
      <c r="E99" t="s">
        <v>149</v>
      </c>
      <c r="F99" s="22">
        <v>-47550</v>
      </c>
    </row>
    <row r="100" spans="2:6">
      <c r="B100" t="s">
        <v>1312</v>
      </c>
      <c r="C100"/>
      <c r="F100" s="22">
        <v>-47550</v>
      </c>
    </row>
    <row r="101" spans="2:6">
      <c r="B101" t="s">
        <v>83</v>
      </c>
      <c r="C101" t="s">
        <v>1380</v>
      </c>
      <c r="D101" s="105">
        <v>46022</v>
      </c>
      <c r="E101" t="s">
        <v>151</v>
      </c>
      <c r="F101" s="22">
        <v>-20033</v>
      </c>
    </row>
    <row r="102" spans="2:6">
      <c r="C102" t="s">
        <v>1621</v>
      </c>
      <c r="D102" s="105">
        <v>45682</v>
      </c>
      <c r="E102" t="s">
        <v>674</v>
      </c>
      <c r="F102" s="22">
        <v>791.52</v>
      </c>
    </row>
    <row r="103" spans="2:6">
      <c r="C103" t="s">
        <v>1641</v>
      </c>
      <c r="D103" s="105">
        <v>45688</v>
      </c>
      <c r="E103" t="s">
        <v>674</v>
      </c>
      <c r="F103" s="22">
        <v>541</v>
      </c>
    </row>
    <row r="104" spans="2:6">
      <c r="C104" t="s">
        <v>1642</v>
      </c>
      <c r="D104" s="105">
        <v>45744</v>
      </c>
      <c r="E104" t="s">
        <v>674</v>
      </c>
      <c r="F104" s="22">
        <v>15180</v>
      </c>
    </row>
    <row r="105" spans="2:6">
      <c r="B105" t="s">
        <v>732</v>
      </c>
      <c r="C105"/>
      <c r="F105" s="22">
        <v>-3520.4799999999996</v>
      </c>
    </row>
    <row r="106" spans="2:6">
      <c r="B106" t="s">
        <v>1601</v>
      </c>
      <c r="C106" t="s">
        <v>259</v>
      </c>
      <c r="D106" s="105">
        <v>45657</v>
      </c>
      <c r="E106" t="s">
        <v>149</v>
      </c>
      <c r="F106" s="22">
        <v>-7713.65</v>
      </c>
    </row>
    <row r="107" spans="2:6">
      <c r="B107" t="s">
        <v>1602</v>
      </c>
      <c r="C107"/>
      <c r="F107" s="22">
        <v>-7713.65</v>
      </c>
    </row>
    <row r="108" spans="2:6">
      <c r="B108" t="s">
        <v>336</v>
      </c>
      <c r="C108" t="s">
        <v>259</v>
      </c>
      <c r="D108" s="105">
        <v>45657</v>
      </c>
      <c r="E108" t="s">
        <v>149</v>
      </c>
      <c r="F108" s="22">
        <v>-313475.81</v>
      </c>
    </row>
    <row r="109" spans="2:6">
      <c r="B109" t="s">
        <v>733</v>
      </c>
      <c r="C109"/>
      <c r="F109" s="22">
        <v>-313475.81</v>
      </c>
    </row>
    <row r="110" spans="2:6">
      <c r="B110" t="s">
        <v>85</v>
      </c>
      <c r="C110" t="s">
        <v>259</v>
      </c>
      <c r="D110" s="105">
        <v>45657</v>
      </c>
      <c r="E110" t="s">
        <v>149</v>
      </c>
      <c r="F110" s="22">
        <v>97200.98</v>
      </c>
    </row>
    <row r="111" spans="2:6">
      <c r="C111" t="s">
        <v>1101</v>
      </c>
      <c r="D111" s="105">
        <v>46022</v>
      </c>
      <c r="E111" t="s">
        <v>1377</v>
      </c>
      <c r="F111" s="22">
        <v>-4915</v>
      </c>
    </row>
    <row r="112" spans="2:6">
      <c r="B112" t="s">
        <v>1313</v>
      </c>
      <c r="C112"/>
      <c r="F112" s="22">
        <v>92285.98</v>
      </c>
    </row>
    <row r="113" spans="2:6">
      <c r="B113" t="s">
        <v>1281</v>
      </c>
      <c r="C113" t="s">
        <v>259</v>
      </c>
      <c r="D113" s="105">
        <v>45657</v>
      </c>
      <c r="E113" t="s">
        <v>149</v>
      </c>
      <c r="F113" s="22">
        <v>-16003.93</v>
      </c>
    </row>
    <row r="114" spans="2:6">
      <c r="C114" t="s">
        <v>1101</v>
      </c>
      <c r="D114" s="105">
        <v>46022</v>
      </c>
      <c r="E114" t="s">
        <v>1377</v>
      </c>
      <c r="F114" s="22">
        <v>-20</v>
      </c>
    </row>
    <row r="115" spans="2:6">
      <c r="B115" t="s">
        <v>1314</v>
      </c>
      <c r="C115"/>
      <c r="F115" s="22">
        <v>-16023.93</v>
      </c>
    </row>
    <row r="116" spans="2:6">
      <c r="B116" t="s">
        <v>337</v>
      </c>
      <c r="C116" t="s">
        <v>1101</v>
      </c>
      <c r="D116" s="105">
        <v>46022</v>
      </c>
      <c r="E116" t="s">
        <v>1377</v>
      </c>
      <c r="F116" s="22">
        <v>-2667</v>
      </c>
    </row>
    <row r="117" spans="2:6">
      <c r="B117" t="s">
        <v>1384</v>
      </c>
      <c r="C117"/>
      <c r="F117" s="22">
        <v>-2667</v>
      </c>
    </row>
    <row r="118" spans="2:6">
      <c r="B118" t="s">
        <v>87</v>
      </c>
      <c r="C118" t="s">
        <v>259</v>
      </c>
      <c r="D118" s="105">
        <v>45657</v>
      </c>
      <c r="E118" t="s">
        <v>149</v>
      </c>
      <c r="F118" s="22">
        <v>18284.12</v>
      </c>
    </row>
    <row r="119" spans="2:6">
      <c r="B119" t="s">
        <v>734</v>
      </c>
      <c r="C119"/>
      <c r="F119" s="22">
        <v>18284.12</v>
      </c>
    </row>
    <row r="120" spans="2:6">
      <c r="B120" t="s">
        <v>88</v>
      </c>
      <c r="C120" t="s">
        <v>259</v>
      </c>
      <c r="D120" s="105">
        <v>45657</v>
      </c>
      <c r="E120" t="s">
        <v>149</v>
      </c>
      <c r="F120" s="22">
        <v>-51912.51</v>
      </c>
    </row>
    <row r="121" spans="2:6">
      <c r="C121" t="s">
        <v>1661</v>
      </c>
      <c r="D121" s="105">
        <v>45953</v>
      </c>
      <c r="E121" t="s">
        <v>1468</v>
      </c>
      <c r="F121" s="22">
        <v>-3750</v>
      </c>
    </row>
    <row r="122" spans="2:6">
      <c r="B122" t="s">
        <v>735</v>
      </c>
      <c r="C122"/>
      <c r="F122" s="22">
        <v>-55662.51</v>
      </c>
    </row>
    <row r="123" spans="2:6">
      <c r="B123" t="s">
        <v>89</v>
      </c>
      <c r="C123" t="s">
        <v>1643</v>
      </c>
      <c r="D123" s="105">
        <v>221338</v>
      </c>
      <c r="E123" t="s">
        <v>150</v>
      </c>
      <c r="F123" s="22">
        <v>-3108.75</v>
      </c>
    </row>
    <row r="124" spans="2:6">
      <c r="B124" t="s">
        <v>1644</v>
      </c>
      <c r="C124"/>
      <c r="F124" s="22">
        <v>-3108.75</v>
      </c>
    </row>
    <row r="125" spans="2:6">
      <c r="B125" t="s">
        <v>1209</v>
      </c>
      <c r="C125" t="s">
        <v>259</v>
      </c>
      <c r="D125" s="105">
        <v>45657</v>
      </c>
      <c r="E125" t="s">
        <v>149</v>
      </c>
      <c r="F125" s="22">
        <v>318966.53999999998</v>
      </c>
    </row>
    <row r="126" spans="2:6">
      <c r="B126" t="s">
        <v>1315</v>
      </c>
      <c r="C126"/>
      <c r="F126" s="22">
        <v>318966.53999999998</v>
      </c>
    </row>
    <row r="127" spans="2:6">
      <c r="B127" t="s">
        <v>1596</v>
      </c>
      <c r="C127" t="s">
        <v>259</v>
      </c>
      <c r="D127" s="105">
        <v>45657</v>
      </c>
      <c r="E127" t="s">
        <v>149</v>
      </c>
      <c r="F127" s="22">
        <v>87341.03</v>
      </c>
    </row>
    <row r="128" spans="2:6">
      <c r="B128" t="s">
        <v>1597</v>
      </c>
      <c r="C128"/>
      <c r="F128" s="22">
        <v>87341.03</v>
      </c>
    </row>
    <row r="129" spans="2:6">
      <c r="B129" t="s">
        <v>1554</v>
      </c>
      <c r="C129" t="s">
        <v>259</v>
      </c>
      <c r="D129" s="105">
        <v>45657</v>
      </c>
      <c r="E129" t="s">
        <v>149</v>
      </c>
      <c r="F129" s="22">
        <v>-160231.54999999999</v>
      </c>
    </row>
    <row r="130" spans="2:6">
      <c r="C130" t="s">
        <v>1023</v>
      </c>
      <c r="D130" s="105">
        <v>45659</v>
      </c>
      <c r="E130" t="s">
        <v>1018</v>
      </c>
      <c r="F130" s="22">
        <v>-200</v>
      </c>
    </row>
    <row r="131" spans="2:6">
      <c r="C131" t="s">
        <v>1622</v>
      </c>
      <c r="D131" s="105">
        <v>46022</v>
      </c>
      <c r="E131" t="s">
        <v>1373</v>
      </c>
      <c r="F131" s="22">
        <v>-4523.8500000000004</v>
      </c>
    </row>
    <row r="132" spans="2:6">
      <c r="B132" t="s">
        <v>1555</v>
      </c>
      <c r="C132"/>
      <c r="F132" s="22">
        <v>-164955.4</v>
      </c>
    </row>
    <row r="133" spans="2:6">
      <c r="B133" t="s">
        <v>526</v>
      </c>
      <c r="C133" t="s">
        <v>259</v>
      </c>
      <c r="D133" s="105">
        <v>45657</v>
      </c>
      <c r="E133" t="s">
        <v>149</v>
      </c>
      <c r="F133" s="22">
        <v>-110400</v>
      </c>
    </row>
    <row r="134" spans="2:6">
      <c r="B134" t="s">
        <v>1544</v>
      </c>
      <c r="C134"/>
      <c r="F134" s="22">
        <v>-110400</v>
      </c>
    </row>
    <row r="135" spans="2:6">
      <c r="B135" t="s">
        <v>1282</v>
      </c>
      <c r="C135" t="s">
        <v>259</v>
      </c>
      <c r="D135" s="105">
        <v>45657</v>
      </c>
      <c r="E135" t="s">
        <v>149</v>
      </c>
      <c r="F135" s="22">
        <v>-22464</v>
      </c>
    </row>
    <row r="136" spans="2:6">
      <c r="B136" t="s">
        <v>1316</v>
      </c>
      <c r="C136"/>
      <c r="F136" s="22">
        <v>-22464</v>
      </c>
    </row>
    <row r="137" spans="2:6">
      <c r="B137" t="s">
        <v>523</v>
      </c>
      <c r="C137" t="s">
        <v>259</v>
      </c>
      <c r="D137" s="105">
        <v>45657</v>
      </c>
      <c r="E137" t="s">
        <v>149</v>
      </c>
      <c r="F137" s="22">
        <v>-394110.85</v>
      </c>
    </row>
    <row r="138" spans="2:6">
      <c r="B138" t="s">
        <v>1417</v>
      </c>
      <c r="C138"/>
      <c r="F138" s="22">
        <v>-394110.85</v>
      </c>
    </row>
    <row r="139" spans="2:6">
      <c r="B139" t="s">
        <v>1543</v>
      </c>
      <c r="C139" t="s">
        <v>1545</v>
      </c>
      <c r="D139" t="s">
        <v>1545</v>
      </c>
      <c r="E139" t="s">
        <v>1545</v>
      </c>
      <c r="F139" s="22">
        <v>110400</v>
      </c>
    </row>
    <row r="140" spans="2:6">
      <c r="B140" t="s">
        <v>1546</v>
      </c>
      <c r="C140"/>
      <c r="F140" s="22">
        <v>110400</v>
      </c>
    </row>
    <row r="141" spans="2:6">
      <c r="B141" t="s">
        <v>1210</v>
      </c>
      <c r="C141" t="s">
        <v>259</v>
      </c>
      <c r="D141" s="105">
        <v>45657</v>
      </c>
      <c r="E141" t="s">
        <v>149</v>
      </c>
      <c r="F141" s="22">
        <v>182989</v>
      </c>
    </row>
    <row r="142" spans="2:6">
      <c r="B142" t="s">
        <v>1317</v>
      </c>
      <c r="C142"/>
      <c r="F142" s="22">
        <v>182989</v>
      </c>
    </row>
    <row r="143" spans="2:6">
      <c r="B143" t="s">
        <v>339</v>
      </c>
      <c r="C143" t="s">
        <v>259</v>
      </c>
      <c r="D143" s="105">
        <v>45657</v>
      </c>
      <c r="E143" t="s">
        <v>149</v>
      </c>
      <c r="F143" s="22">
        <v>-105</v>
      </c>
    </row>
    <row r="144" spans="2:6">
      <c r="B144" t="s">
        <v>736</v>
      </c>
      <c r="C144"/>
      <c r="F144" s="22">
        <v>-105</v>
      </c>
    </row>
    <row r="145" spans="2:6">
      <c r="B145" t="s">
        <v>90</v>
      </c>
      <c r="C145" t="s">
        <v>259</v>
      </c>
      <c r="D145" s="105">
        <v>45657</v>
      </c>
      <c r="E145" t="s">
        <v>149</v>
      </c>
      <c r="F145" s="22">
        <v>-628827.28</v>
      </c>
    </row>
    <row r="146" spans="2:6">
      <c r="B146" t="s">
        <v>737</v>
      </c>
      <c r="C146"/>
      <c r="F146" s="22">
        <v>-628827.28</v>
      </c>
    </row>
    <row r="147" spans="2:6">
      <c r="B147" t="s">
        <v>1251</v>
      </c>
      <c r="C147" t="s">
        <v>259</v>
      </c>
      <c r="D147" s="105">
        <v>45657</v>
      </c>
      <c r="E147" t="s">
        <v>149</v>
      </c>
      <c r="F147" s="22">
        <v>-5257237.03</v>
      </c>
    </row>
    <row r="148" spans="2:6">
      <c r="C148" t="s">
        <v>679</v>
      </c>
      <c r="D148" s="105">
        <v>45664</v>
      </c>
      <c r="E148" t="s">
        <v>150</v>
      </c>
      <c r="F148" s="22">
        <v>-3000</v>
      </c>
    </row>
    <row r="149" spans="2:6">
      <c r="C149" t="s">
        <v>741</v>
      </c>
      <c r="D149" s="105">
        <v>45706</v>
      </c>
      <c r="E149" t="s">
        <v>150</v>
      </c>
      <c r="F149" s="22">
        <v>-1575</v>
      </c>
    </row>
    <row r="150" spans="2:6">
      <c r="C150" t="s">
        <v>742</v>
      </c>
      <c r="D150" s="105">
        <v>45777</v>
      </c>
      <c r="E150" t="s">
        <v>150</v>
      </c>
      <c r="F150" s="22">
        <v>-15000</v>
      </c>
    </row>
    <row r="151" spans="2:6">
      <c r="C151" t="s">
        <v>743</v>
      </c>
      <c r="D151" s="105">
        <v>45752</v>
      </c>
      <c r="E151" t="s">
        <v>150</v>
      </c>
      <c r="F151" s="22">
        <v>-1150</v>
      </c>
    </row>
    <row r="152" spans="2:6">
      <c r="B152" t="s">
        <v>1318</v>
      </c>
      <c r="C152"/>
      <c r="F152" s="22">
        <v>-5277962.03</v>
      </c>
    </row>
    <row r="153" spans="2:6">
      <c r="B153" t="s">
        <v>1283</v>
      </c>
      <c r="C153" t="s">
        <v>259</v>
      </c>
      <c r="D153" s="105">
        <v>45657</v>
      </c>
      <c r="E153" t="s">
        <v>149</v>
      </c>
      <c r="F153" s="22">
        <v>-556439.68000000005</v>
      </c>
    </row>
    <row r="154" spans="2:6">
      <c r="B154" t="s">
        <v>1319</v>
      </c>
      <c r="C154"/>
      <c r="F154" s="22">
        <v>-556439.68000000005</v>
      </c>
    </row>
    <row r="155" spans="2:6">
      <c r="B155" t="s">
        <v>592</v>
      </c>
      <c r="C155" t="s">
        <v>1039</v>
      </c>
      <c r="D155" s="105">
        <v>45678</v>
      </c>
      <c r="E155" t="s">
        <v>1018</v>
      </c>
      <c r="F155" s="22">
        <v>-14872.07</v>
      </c>
    </row>
    <row r="156" spans="2:6">
      <c r="C156" t="s">
        <v>1025</v>
      </c>
      <c r="D156" s="105">
        <v>45686</v>
      </c>
      <c r="E156" t="s">
        <v>1018</v>
      </c>
      <c r="F156" s="22">
        <v>-164.89</v>
      </c>
    </row>
    <row r="157" spans="2:6">
      <c r="C157" t="s">
        <v>1028</v>
      </c>
      <c r="D157" s="105">
        <v>45686</v>
      </c>
      <c r="E157" t="s">
        <v>1018</v>
      </c>
      <c r="F157" s="22">
        <v>-15637.36</v>
      </c>
    </row>
    <row r="158" spans="2:6">
      <c r="C158" t="s">
        <v>1029</v>
      </c>
      <c r="D158" s="105">
        <v>45687</v>
      </c>
      <c r="E158" t="s">
        <v>1018</v>
      </c>
      <c r="F158" s="22">
        <v>-11886.86</v>
      </c>
    </row>
    <row r="159" spans="2:6">
      <c r="C159" t="s">
        <v>1441</v>
      </c>
      <c r="D159" s="105">
        <v>45693</v>
      </c>
      <c r="E159" t="s">
        <v>1018</v>
      </c>
      <c r="F159" s="22">
        <v>-3303.29</v>
      </c>
    </row>
    <row r="160" spans="2:6">
      <c r="C160" t="s">
        <v>1442</v>
      </c>
      <c r="D160" s="105">
        <v>45693</v>
      </c>
      <c r="E160" t="s">
        <v>1018</v>
      </c>
      <c r="F160" s="22">
        <v>-5625.47</v>
      </c>
    </row>
    <row r="161" spans="2:6">
      <c r="C161" t="s">
        <v>1443</v>
      </c>
      <c r="D161" s="105">
        <v>45698</v>
      </c>
      <c r="E161" t="s">
        <v>1018</v>
      </c>
      <c r="F161" s="22">
        <v>-6089.35</v>
      </c>
    </row>
    <row r="162" spans="2:6">
      <c r="C162" t="s">
        <v>1444</v>
      </c>
      <c r="D162" s="105">
        <v>45702</v>
      </c>
      <c r="E162" t="s">
        <v>1018</v>
      </c>
      <c r="F162" s="22">
        <v>-719.18</v>
      </c>
    </row>
    <row r="163" spans="2:6">
      <c r="C163" t="s">
        <v>1445</v>
      </c>
      <c r="D163" s="105">
        <v>45708</v>
      </c>
      <c r="E163" t="s">
        <v>1018</v>
      </c>
      <c r="F163" s="22">
        <v>-9072.74</v>
      </c>
    </row>
    <row r="164" spans="2:6">
      <c r="C164" t="s">
        <v>1446</v>
      </c>
      <c r="D164" s="105">
        <v>45708</v>
      </c>
      <c r="E164" t="s">
        <v>1018</v>
      </c>
      <c r="F164" s="22">
        <v>-5554.11</v>
      </c>
    </row>
    <row r="165" spans="2:6">
      <c r="C165" t="s">
        <v>1447</v>
      </c>
      <c r="D165" s="105">
        <v>45719</v>
      </c>
      <c r="E165" t="s">
        <v>1018</v>
      </c>
      <c r="F165" s="22">
        <v>-4727.1000000000004</v>
      </c>
    </row>
    <row r="166" spans="2:6">
      <c r="C166" t="s">
        <v>1448</v>
      </c>
      <c r="D166" s="105">
        <v>45720</v>
      </c>
      <c r="E166" t="s">
        <v>1018</v>
      </c>
      <c r="F166" s="22">
        <v>-14800.08</v>
      </c>
    </row>
    <row r="167" spans="2:6">
      <c r="C167" t="s">
        <v>1449</v>
      </c>
      <c r="D167" s="105">
        <v>45798</v>
      </c>
      <c r="E167" t="s">
        <v>1018</v>
      </c>
      <c r="F167" s="22">
        <v>-457.63</v>
      </c>
    </row>
    <row r="168" spans="2:6">
      <c r="C168" t="s">
        <v>1450</v>
      </c>
      <c r="D168" s="105">
        <v>45798</v>
      </c>
      <c r="E168" t="s">
        <v>1018</v>
      </c>
      <c r="F168" s="22">
        <v>-5454.2</v>
      </c>
    </row>
    <row r="169" spans="2:6">
      <c r="C169" t="s">
        <v>1212</v>
      </c>
      <c r="D169" s="105">
        <v>45670</v>
      </c>
      <c r="E169" t="s">
        <v>1018</v>
      </c>
      <c r="F169" s="22">
        <v>-11122.23</v>
      </c>
    </row>
    <row r="170" spans="2:6">
      <c r="B170" t="s">
        <v>738</v>
      </c>
      <c r="C170"/>
      <c r="F170" s="22">
        <v>-109486.56000000001</v>
      </c>
    </row>
    <row r="171" spans="2:6">
      <c r="B171" t="s">
        <v>1284</v>
      </c>
      <c r="C171" t="s">
        <v>259</v>
      </c>
      <c r="D171" s="105">
        <v>45657</v>
      </c>
      <c r="E171" t="s">
        <v>149</v>
      </c>
      <c r="F171" s="22">
        <v>-445743.23</v>
      </c>
    </row>
    <row r="172" spans="2:6">
      <c r="B172" t="s">
        <v>1320</v>
      </c>
      <c r="C172"/>
      <c r="F172" s="22">
        <v>-445743.23</v>
      </c>
    </row>
    <row r="173" spans="2:6">
      <c r="B173" t="s">
        <v>1252</v>
      </c>
      <c r="C173" t="s">
        <v>259</v>
      </c>
      <c r="D173" s="105">
        <v>45657</v>
      </c>
      <c r="E173" t="s">
        <v>149</v>
      </c>
      <c r="F173" s="22">
        <v>-380</v>
      </c>
    </row>
    <row r="174" spans="2:6">
      <c r="B174" t="s">
        <v>1321</v>
      </c>
      <c r="C174"/>
      <c r="F174" s="22">
        <v>-380</v>
      </c>
    </row>
    <row r="175" spans="2:6">
      <c r="B175" t="s">
        <v>1253</v>
      </c>
      <c r="C175" t="s">
        <v>259</v>
      </c>
      <c r="D175" s="105">
        <v>45657</v>
      </c>
      <c r="E175" t="s">
        <v>149</v>
      </c>
      <c r="F175" s="22">
        <v>19472.05</v>
      </c>
    </row>
    <row r="176" spans="2:6">
      <c r="B176" t="s">
        <v>1322</v>
      </c>
      <c r="C176"/>
      <c r="F176" s="22">
        <v>19472.05</v>
      </c>
    </row>
    <row r="177" spans="2:6">
      <c r="B177" t="s">
        <v>345</v>
      </c>
      <c r="C177" t="s">
        <v>1038</v>
      </c>
      <c r="D177" s="105">
        <v>45678</v>
      </c>
      <c r="E177" t="s">
        <v>1018</v>
      </c>
      <c r="F177" s="22">
        <v>13.08</v>
      </c>
    </row>
    <row r="178" spans="2:6">
      <c r="B178" t="s">
        <v>1213</v>
      </c>
      <c r="C178"/>
      <c r="F178" s="22">
        <v>13.08</v>
      </c>
    </row>
    <row r="179" spans="2:6">
      <c r="B179" t="s">
        <v>594</v>
      </c>
      <c r="C179" t="s">
        <v>1043</v>
      </c>
      <c r="D179" s="105">
        <v>46022</v>
      </c>
      <c r="E179" t="s">
        <v>1018</v>
      </c>
      <c r="F179" s="22">
        <v>109667.01</v>
      </c>
    </row>
    <row r="180" spans="2:6">
      <c r="B180" t="s">
        <v>1045</v>
      </c>
      <c r="C180"/>
      <c r="F180" s="22">
        <v>109667.01</v>
      </c>
    </row>
    <row r="181" spans="2:6">
      <c r="B181" t="s">
        <v>92</v>
      </c>
      <c r="C181" t="s">
        <v>1032</v>
      </c>
      <c r="D181" s="105">
        <v>45670</v>
      </c>
      <c r="E181" t="s">
        <v>1017</v>
      </c>
      <c r="F181" s="22">
        <v>-10401.219999999999</v>
      </c>
    </row>
    <row r="182" spans="2:6">
      <c r="C182" t="s">
        <v>1033</v>
      </c>
      <c r="D182" s="105">
        <v>45670</v>
      </c>
      <c r="E182" t="s">
        <v>1017</v>
      </c>
      <c r="F182" s="22">
        <v>-10039.73</v>
      </c>
    </row>
    <row r="183" spans="2:6">
      <c r="C183" t="s">
        <v>1034</v>
      </c>
      <c r="D183" s="105">
        <v>45670</v>
      </c>
      <c r="E183" t="s">
        <v>1017</v>
      </c>
      <c r="F183" s="22">
        <v>-12011.17</v>
      </c>
    </row>
    <row r="184" spans="2:6">
      <c r="C184" t="s">
        <v>1035</v>
      </c>
      <c r="D184" s="105">
        <v>45670</v>
      </c>
      <c r="E184" t="s">
        <v>1017</v>
      </c>
      <c r="F184" s="22">
        <v>-9515.0300000000007</v>
      </c>
    </row>
    <row r="185" spans="2:6">
      <c r="C185" t="s">
        <v>1036</v>
      </c>
      <c r="D185" s="105">
        <v>45670</v>
      </c>
      <c r="E185" t="s">
        <v>1017</v>
      </c>
      <c r="F185" s="22">
        <v>-10543.71</v>
      </c>
    </row>
    <row r="186" spans="2:6">
      <c r="B186" t="s">
        <v>1042</v>
      </c>
      <c r="C186"/>
      <c r="F186" s="22">
        <v>-52510.859999999993</v>
      </c>
    </row>
    <row r="187" spans="2:6">
      <c r="B187" t="s">
        <v>1019</v>
      </c>
      <c r="C187" t="s">
        <v>1043</v>
      </c>
      <c r="D187" s="105">
        <v>46022</v>
      </c>
      <c r="E187" t="s">
        <v>1017</v>
      </c>
      <c r="F187" s="22">
        <v>54736.17</v>
      </c>
    </row>
    <row r="188" spans="2:6">
      <c r="B188" t="s">
        <v>1044</v>
      </c>
      <c r="C188"/>
      <c r="F188" s="22">
        <v>54736.17</v>
      </c>
    </row>
    <row r="189" spans="2:6">
      <c r="B189" t="s">
        <v>1470</v>
      </c>
      <c r="C189" t="s">
        <v>1471</v>
      </c>
      <c r="D189" s="105">
        <v>45904</v>
      </c>
      <c r="E189" t="s">
        <v>1468</v>
      </c>
      <c r="F189" s="22">
        <v>-12350</v>
      </c>
    </row>
    <row r="190" spans="2:6">
      <c r="B190" t="s">
        <v>1472</v>
      </c>
      <c r="C190"/>
      <c r="F190" s="22">
        <v>-12350</v>
      </c>
    </row>
    <row r="191" spans="2:6">
      <c r="B191" t="s">
        <v>1552</v>
      </c>
      <c r="C191" t="s">
        <v>1471</v>
      </c>
      <c r="D191" s="105">
        <v>45904</v>
      </c>
      <c r="E191" t="s">
        <v>1468</v>
      </c>
      <c r="F191" s="22">
        <v>-6265</v>
      </c>
    </row>
    <row r="192" spans="2:6">
      <c r="B192" t="s">
        <v>1553</v>
      </c>
      <c r="C192"/>
      <c r="F192" s="22">
        <v>-6265</v>
      </c>
    </row>
    <row r="193" spans="2:6">
      <c r="B193" t="s">
        <v>364</v>
      </c>
      <c r="C193" t="s">
        <v>1024</v>
      </c>
      <c r="D193" s="105">
        <v>45659</v>
      </c>
      <c r="E193" t="s">
        <v>1018</v>
      </c>
      <c r="F193" s="22">
        <v>-11.16</v>
      </c>
    </row>
    <row r="194" spans="2:6">
      <c r="C194" t="s">
        <v>1033</v>
      </c>
      <c r="D194" s="105">
        <v>45672</v>
      </c>
      <c r="E194" t="s">
        <v>1018</v>
      </c>
      <c r="F194" s="22">
        <v>-6.77</v>
      </c>
    </row>
    <row r="195" spans="2:6">
      <c r="C195" t="s">
        <v>1034</v>
      </c>
      <c r="D195" s="105">
        <v>45672</v>
      </c>
      <c r="E195" t="s">
        <v>1018</v>
      </c>
      <c r="F195" s="22">
        <v>-13.06</v>
      </c>
    </row>
    <row r="196" spans="2:6">
      <c r="C196" t="s">
        <v>1035</v>
      </c>
      <c r="D196" s="105">
        <v>45660</v>
      </c>
      <c r="E196" t="s">
        <v>1018</v>
      </c>
      <c r="F196" s="22">
        <v>-14.2</v>
      </c>
    </row>
    <row r="197" spans="2:6">
      <c r="C197" t="s">
        <v>1037</v>
      </c>
      <c r="D197" s="105">
        <v>45678</v>
      </c>
      <c r="E197" t="s">
        <v>1018</v>
      </c>
      <c r="F197" s="22">
        <v>-52.34</v>
      </c>
    </row>
    <row r="198" spans="2:6">
      <c r="C198" t="s">
        <v>1451</v>
      </c>
      <c r="D198" s="105">
        <v>45698</v>
      </c>
      <c r="E198" t="s">
        <v>1018</v>
      </c>
      <c r="F198" s="22">
        <v>-14</v>
      </c>
    </row>
    <row r="199" spans="2:6">
      <c r="C199" t="s">
        <v>1452</v>
      </c>
      <c r="D199" s="105">
        <v>45702</v>
      </c>
      <c r="E199" t="s">
        <v>1018</v>
      </c>
      <c r="F199" s="22">
        <v>-16.86</v>
      </c>
    </row>
    <row r="200" spans="2:6">
      <c r="C200" t="s">
        <v>1453</v>
      </c>
      <c r="D200" s="105">
        <v>45733</v>
      </c>
      <c r="E200" t="s">
        <v>1018</v>
      </c>
      <c r="F200" s="22">
        <v>-19.829999999999998</v>
      </c>
    </row>
    <row r="201" spans="2:6">
      <c r="C201" t="s">
        <v>1454</v>
      </c>
      <c r="D201" s="105">
        <v>45733</v>
      </c>
      <c r="E201" t="s">
        <v>1018</v>
      </c>
      <c r="F201" s="22">
        <v>2.97</v>
      </c>
    </row>
    <row r="202" spans="2:6">
      <c r="C202" t="s">
        <v>1455</v>
      </c>
      <c r="D202" s="105">
        <v>45733</v>
      </c>
      <c r="E202" t="s">
        <v>1018</v>
      </c>
      <c r="F202" s="22">
        <v>-14</v>
      </c>
    </row>
    <row r="203" spans="2:6">
      <c r="C203" t="s">
        <v>1456</v>
      </c>
      <c r="D203" s="105">
        <v>45730</v>
      </c>
      <c r="E203" t="s">
        <v>1018</v>
      </c>
      <c r="F203" s="22">
        <v>-14</v>
      </c>
    </row>
    <row r="204" spans="2:6">
      <c r="C204" t="s">
        <v>1457</v>
      </c>
      <c r="D204" s="105">
        <v>45768</v>
      </c>
      <c r="E204" t="s">
        <v>1018</v>
      </c>
      <c r="F204" s="22">
        <v>-6.15</v>
      </c>
    </row>
    <row r="205" spans="2:6">
      <c r="C205" t="s">
        <v>1458</v>
      </c>
      <c r="D205" s="105">
        <v>45784</v>
      </c>
      <c r="E205" t="s">
        <v>1018</v>
      </c>
      <c r="F205" s="22">
        <v>-16.899999999999999</v>
      </c>
    </row>
    <row r="206" spans="2:6">
      <c r="C206" t="s">
        <v>1459</v>
      </c>
      <c r="D206" s="105">
        <v>45807</v>
      </c>
      <c r="E206" t="s">
        <v>1018</v>
      </c>
      <c r="F206" s="22">
        <v>-16.899999999999999</v>
      </c>
    </row>
    <row r="207" spans="2:6">
      <c r="C207" t="s">
        <v>1460</v>
      </c>
      <c r="D207" s="105">
        <v>45826</v>
      </c>
      <c r="E207" t="s">
        <v>1018</v>
      </c>
      <c r="F207" s="22">
        <v>-29.67</v>
      </c>
    </row>
    <row r="208" spans="2:6">
      <c r="C208" t="s">
        <v>1461</v>
      </c>
      <c r="D208" s="105">
        <v>45807</v>
      </c>
      <c r="E208" t="s">
        <v>1018</v>
      </c>
      <c r="F208" s="22">
        <v>-10.199999999999999</v>
      </c>
    </row>
    <row r="209" spans="2:6">
      <c r="C209" t="s">
        <v>1462</v>
      </c>
      <c r="D209" s="105">
        <v>45807</v>
      </c>
      <c r="E209" t="s">
        <v>1018</v>
      </c>
      <c r="F209" s="22">
        <v>-122</v>
      </c>
    </row>
    <row r="210" spans="2:6">
      <c r="C210" t="s">
        <v>1463</v>
      </c>
      <c r="D210" s="105">
        <v>45807</v>
      </c>
      <c r="E210" t="s">
        <v>1018</v>
      </c>
      <c r="F210" s="22">
        <v>-16.899999999999999</v>
      </c>
    </row>
    <row r="211" spans="2:6">
      <c r="C211" t="s">
        <v>1464</v>
      </c>
      <c r="D211" s="105">
        <v>45807</v>
      </c>
      <c r="E211" t="s">
        <v>1018</v>
      </c>
      <c r="F211" s="22">
        <v>-29.74</v>
      </c>
    </row>
    <row r="212" spans="2:6">
      <c r="B212" t="s">
        <v>739</v>
      </c>
      <c r="C212"/>
      <c r="F212" s="22">
        <v>-421.71</v>
      </c>
    </row>
    <row r="213" spans="2:6">
      <c r="B213" t="s">
        <v>1609</v>
      </c>
      <c r="C213" t="s">
        <v>1623</v>
      </c>
      <c r="D213" s="105">
        <v>45907</v>
      </c>
      <c r="E213" t="s">
        <v>1373</v>
      </c>
      <c r="F213" s="22">
        <v>115</v>
      </c>
    </row>
    <row r="214" spans="2:6">
      <c r="B214" t="s">
        <v>1610</v>
      </c>
      <c r="C214"/>
      <c r="F214" s="22">
        <v>115</v>
      </c>
    </row>
    <row r="215" spans="2:6">
      <c r="B215" t="s">
        <v>1632</v>
      </c>
      <c r="C215" t="s">
        <v>1645</v>
      </c>
      <c r="D215" s="105">
        <v>45913</v>
      </c>
      <c r="E215" t="s">
        <v>674</v>
      </c>
      <c r="F215" s="22">
        <v>115</v>
      </c>
    </row>
    <row r="216" spans="2:6">
      <c r="B216" t="s">
        <v>1646</v>
      </c>
      <c r="C216"/>
      <c r="F216" s="22">
        <v>115</v>
      </c>
    </row>
    <row r="217" spans="2:6">
      <c r="B217" t="s">
        <v>284</v>
      </c>
      <c r="C217" t="s">
        <v>259</v>
      </c>
      <c r="D217" s="105">
        <v>45657</v>
      </c>
      <c r="E217" t="s">
        <v>149</v>
      </c>
      <c r="F217" s="22">
        <v>164563.54</v>
      </c>
    </row>
    <row r="218" spans="2:6">
      <c r="C218" t="s">
        <v>1662</v>
      </c>
      <c r="D218" s="105">
        <v>45953</v>
      </c>
      <c r="E218" t="s">
        <v>1468</v>
      </c>
      <c r="F218" s="22">
        <v>1490.32</v>
      </c>
    </row>
    <row r="219" spans="2:6">
      <c r="B219" t="s">
        <v>740</v>
      </c>
      <c r="C219"/>
      <c r="F219" s="22">
        <v>166053.86000000002</v>
      </c>
    </row>
    <row r="220" spans="2:6">
      <c r="B220" t="s">
        <v>1285</v>
      </c>
      <c r="C220" t="s">
        <v>259</v>
      </c>
      <c r="D220" s="105">
        <v>45657</v>
      </c>
      <c r="E220" t="s">
        <v>149</v>
      </c>
      <c r="F220" s="22">
        <v>1392350.47</v>
      </c>
    </row>
    <row r="221" spans="2:6">
      <c r="B221" t="s">
        <v>1323</v>
      </c>
      <c r="C221"/>
      <c r="F221" s="22">
        <v>1392350.47</v>
      </c>
    </row>
    <row r="222" spans="2:6">
      <c r="B222" t="s">
        <v>1286</v>
      </c>
      <c r="C222" t="s">
        <v>259</v>
      </c>
      <c r="D222" s="105">
        <v>45657</v>
      </c>
      <c r="E222" t="s">
        <v>149</v>
      </c>
      <c r="F222" s="22">
        <v>160423.6</v>
      </c>
    </row>
    <row r="223" spans="2:6">
      <c r="B223" t="s">
        <v>1324</v>
      </c>
      <c r="C223"/>
      <c r="F223" s="22">
        <v>160423.6</v>
      </c>
    </row>
    <row r="224" spans="2:6">
      <c r="B224" t="s">
        <v>1287</v>
      </c>
      <c r="C224" t="s">
        <v>259</v>
      </c>
      <c r="D224" s="105">
        <v>45657</v>
      </c>
      <c r="E224" t="s">
        <v>149</v>
      </c>
      <c r="F224" s="22">
        <v>2019674.17</v>
      </c>
    </row>
    <row r="225" spans="2:6">
      <c r="C225" t="s">
        <v>1025</v>
      </c>
      <c r="D225" s="105">
        <v>45899</v>
      </c>
      <c r="E225" t="s">
        <v>151</v>
      </c>
      <c r="F225" s="22">
        <v>15180</v>
      </c>
    </row>
    <row r="226" spans="2:6">
      <c r="C226" t="s">
        <v>1026</v>
      </c>
      <c r="D226" s="105">
        <v>45869</v>
      </c>
      <c r="E226" t="s">
        <v>151</v>
      </c>
      <c r="F226" s="22">
        <v>3278</v>
      </c>
    </row>
    <row r="227" spans="2:6">
      <c r="C227" t="s">
        <v>1647</v>
      </c>
      <c r="D227" s="105">
        <v>45896</v>
      </c>
      <c r="E227" t="s">
        <v>674</v>
      </c>
      <c r="F227" s="22">
        <v>5968.77</v>
      </c>
    </row>
    <row r="228" spans="2:6">
      <c r="C228" t="s">
        <v>1624</v>
      </c>
      <c r="D228" s="105">
        <v>45911</v>
      </c>
      <c r="E228" t="s">
        <v>1373</v>
      </c>
      <c r="F228" s="22">
        <v>1057.8399999999999</v>
      </c>
    </row>
    <row r="229" spans="2:6">
      <c r="C229" t="s">
        <v>1625</v>
      </c>
      <c r="D229" s="105">
        <v>45911</v>
      </c>
      <c r="E229" t="s">
        <v>1373</v>
      </c>
      <c r="F229" s="22">
        <v>568.74</v>
      </c>
    </row>
    <row r="230" spans="2:6">
      <c r="B230" t="s">
        <v>1325</v>
      </c>
      <c r="C230"/>
      <c r="F230" s="22">
        <v>2045727.52</v>
      </c>
    </row>
    <row r="231" spans="2:6">
      <c r="B231" t="s">
        <v>1288</v>
      </c>
      <c r="C231" t="s">
        <v>259</v>
      </c>
      <c r="D231" s="105">
        <v>45657</v>
      </c>
      <c r="E231" t="s">
        <v>149</v>
      </c>
      <c r="F231" s="22">
        <v>38957.58</v>
      </c>
    </row>
    <row r="232" spans="2:6">
      <c r="C232" t="s">
        <v>1626</v>
      </c>
      <c r="D232" s="105">
        <v>45899</v>
      </c>
      <c r="E232" t="s">
        <v>1373</v>
      </c>
      <c r="F232" s="22">
        <v>458.52</v>
      </c>
    </row>
    <row r="233" spans="2:6">
      <c r="B233" t="s">
        <v>1326</v>
      </c>
      <c r="C233"/>
      <c r="F233" s="22">
        <v>39416.1</v>
      </c>
    </row>
    <row r="234" spans="2:6">
      <c r="B234" t="s">
        <v>1289</v>
      </c>
      <c r="C234" t="s">
        <v>259</v>
      </c>
      <c r="D234" s="105">
        <v>45657</v>
      </c>
      <c r="E234" t="s">
        <v>149</v>
      </c>
      <c r="F234" s="22">
        <v>185845.39</v>
      </c>
    </row>
    <row r="235" spans="2:6">
      <c r="C235" t="s">
        <v>1101</v>
      </c>
      <c r="D235" s="105">
        <v>46022</v>
      </c>
      <c r="E235" t="s">
        <v>1377</v>
      </c>
      <c r="F235" s="22">
        <v>7000</v>
      </c>
    </row>
    <row r="236" spans="2:6">
      <c r="B236" t="s">
        <v>1327</v>
      </c>
      <c r="C236"/>
      <c r="F236" s="22">
        <v>192845.39</v>
      </c>
    </row>
    <row r="237" spans="2:6">
      <c r="B237" t="s">
        <v>1290</v>
      </c>
      <c r="C237" t="s">
        <v>259</v>
      </c>
      <c r="D237" s="105">
        <v>45657</v>
      </c>
      <c r="E237" t="s">
        <v>149</v>
      </c>
      <c r="F237" s="22">
        <v>13851.27</v>
      </c>
    </row>
    <row r="238" spans="2:6">
      <c r="B238" t="s">
        <v>1328</v>
      </c>
      <c r="C238"/>
      <c r="F238" s="22">
        <v>13851.27</v>
      </c>
    </row>
    <row r="239" spans="2:6">
      <c r="B239" t="s">
        <v>1291</v>
      </c>
      <c r="C239" t="s">
        <v>259</v>
      </c>
      <c r="D239" s="105">
        <v>45657</v>
      </c>
      <c r="E239" t="s">
        <v>149</v>
      </c>
      <c r="F239" s="22">
        <v>213665.01</v>
      </c>
    </row>
    <row r="240" spans="2:6">
      <c r="B240" t="s">
        <v>1329</v>
      </c>
      <c r="C240"/>
      <c r="F240" s="22">
        <v>213665.01</v>
      </c>
    </row>
    <row r="241" spans="2:6">
      <c r="B241" t="s">
        <v>1292</v>
      </c>
      <c r="C241" t="s">
        <v>259</v>
      </c>
      <c r="D241" s="105">
        <v>45657</v>
      </c>
      <c r="E241" t="s">
        <v>149</v>
      </c>
      <c r="F241" s="22">
        <v>31671.1</v>
      </c>
    </row>
    <row r="242" spans="2:6">
      <c r="C242" t="s">
        <v>1101</v>
      </c>
      <c r="D242" s="105">
        <v>46022</v>
      </c>
      <c r="E242" t="s">
        <v>1377</v>
      </c>
      <c r="F242" s="22">
        <v>602</v>
      </c>
    </row>
    <row r="243" spans="2:6">
      <c r="B243" t="s">
        <v>1330</v>
      </c>
      <c r="C243"/>
      <c r="F243" s="22">
        <v>32273.1</v>
      </c>
    </row>
    <row r="244" spans="2:6">
      <c r="B244" t="s">
        <v>1293</v>
      </c>
      <c r="C244" t="s">
        <v>259</v>
      </c>
      <c r="D244" s="105">
        <v>45657</v>
      </c>
      <c r="E244" t="s">
        <v>149</v>
      </c>
      <c r="F244" s="22">
        <v>8786.6</v>
      </c>
    </row>
    <row r="245" spans="2:6">
      <c r="B245" t="s">
        <v>1331</v>
      </c>
      <c r="C245"/>
      <c r="F245" s="22">
        <v>8786.6</v>
      </c>
    </row>
    <row r="246" spans="2:6">
      <c r="B246" t="s">
        <v>1294</v>
      </c>
      <c r="C246" t="s">
        <v>259</v>
      </c>
      <c r="D246" s="105">
        <v>45657</v>
      </c>
      <c r="E246" t="s">
        <v>149</v>
      </c>
      <c r="F246" s="22">
        <v>25442.31</v>
      </c>
    </row>
    <row r="247" spans="2:6">
      <c r="C247" t="s">
        <v>1614</v>
      </c>
      <c r="D247" s="105">
        <v>45678</v>
      </c>
      <c r="E247" t="s">
        <v>674</v>
      </c>
      <c r="F247" s="22">
        <v>451.89</v>
      </c>
    </row>
    <row r="248" spans="2:6">
      <c r="B248" t="s">
        <v>1332</v>
      </c>
      <c r="C248"/>
      <c r="F248" s="22">
        <v>25894.2</v>
      </c>
    </row>
    <row r="249" spans="2:6">
      <c r="B249" t="s">
        <v>1260</v>
      </c>
      <c r="C249" t="s">
        <v>259</v>
      </c>
      <c r="D249" s="105">
        <v>45657</v>
      </c>
      <c r="E249" t="s">
        <v>149</v>
      </c>
      <c r="F249" s="22">
        <v>33577.35</v>
      </c>
    </row>
    <row r="250" spans="2:6">
      <c r="B250" t="s">
        <v>1333</v>
      </c>
      <c r="C250"/>
      <c r="F250" s="22">
        <v>33577.35</v>
      </c>
    </row>
    <row r="251" spans="2:6">
      <c r="B251" t="s">
        <v>1295</v>
      </c>
      <c r="C251" t="s">
        <v>259</v>
      </c>
      <c r="D251" s="105">
        <v>45657</v>
      </c>
      <c r="E251" t="s">
        <v>149</v>
      </c>
      <c r="F251" s="22">
        <v>810542.21</v>
      </c>
    </row>
    <row r="252" spans="2:6">
      <c r="B252" t="s">
        <v>1334</v>
      </c>
      <c r="C252"/>
      <c r="F252" s="22">
        <v>810542.21</v>
      </c>
    </row>
    <row r="253" spans="2:6">
      <c r="B253" t="s">
        <v>1296</v>
      </c>
      <c r="C253" t="s">
        <v>259</v>
      </c>
      <c r="D253" s="105">
        <v>45657</v>
      </c>
      <c r="E253" t="s">
        <v>149</v>
      </c>
      <c r="F253" s="22">
        <v>105801.37</v>
      </c>
    </row>
    <row r="254" spans="2:6">
      <c r="B254" t="s">
        <v>1335</v>
      </c>
      <c r="C254"/>
      <c r="F254" s="22">
        <v>105801.37</v>
      </c>
    </row>
    <row r="255" spans="2:6">
      <c r="B255" t="s">
        <v>1306</v>
      </c>
      <c r="C255" t="s">
        <v>259</v>
      </c>
      <c r="D255" s="105">
        <v>45657</v>
      </c>
      <c r="E255" t="s">
        <v>149</v>
      </c>
      <c r="F255" s="22">
        <v>4802.34</v>
      </c>
    </row>
    <row r="256" spans="2:6">
      <c r="B256" t="s">
        <v>1336</v>
      </c>
      <c r="C256"/>
      <c r="F256" s="22">
        <v>4802.34</v>
      </c>
    </row>
    <row r="257" spans="2:6">
      <c r="B257" t="s">
        <v>1261</v>
      </c>
      <c r="C257" t="s">
        <v>259</v>
      </c>
      <c r="D257" s="105">
        <v>45657</v>
      </c>
      <c r="E257" t="s">
        <v>149</v>
      </c>
      <c r="F257" s="22">
        <v>21450.46</v>
      </c>
    </row>
    <row r="258" spans="2:6">
      <c r="B258" t="s">
        <v>1337</v>
      </c>
      <c r="C258"/>
      <c r="F258" s="22">
        <v>21450.46</v>
      </c>
    </row>
    <row r="259" spans="2:6">
      <c r="B259" t="s">
        <v>1298</v>
      </c>
      <c r="C259" t="s">
        <v>259</v>
      </c>
      <c r="D259" s="105">
        <v>45657</v>
      </c>
      <c r="E259" t="s">
        <v>149</v>
      </c>
      <c r="F259" s="22">
        <v>282585.46000000002</v>
      </c>
    </row>
    <row r="260" spans="2:6">
      <c r="C260" t="s">
        <v>1648</v>
      </c>
      <c r="D260" s="105">
        <v>45702</v>
      </c>
      <c r="E260" t="s">
        <v>674</v>
      </c>
      <c r="F260" s="22">
        <v>810</v>
      </c>
    </row>
    <row r="261" spans="2:6">
      <c r="B261" t="s">
        <v>1338</v>
      </c>
      <c r="C261"/>
      <c r="F261" s="22">
        <v>283395.46000000002</v>
      </c>
    </row>
    <row r="262" spans="2:6">
      <c r="B262" t="s">
        <v>1299</v>
      </c>
      <c r="C262" t="s">
        <v>259</v>
      </c>
      <c r="D262" s="105">
        <v>45657</v>
      </c>
      <c r="E262" t="s">
        <v>149</v>
      </c>
      <c r="F262" s="22">
        <v>24628.83</v>
      </c>
    </row>
    <row r="263" spans="2:6">
      <c r="B263" t="s">
        <v>1339</v>
      </c>
      <c r="C263"/>
      <c r="F263" s="22">
        <v>24628.83</v>
      </c>
    </row>
    <row r="264" spans="2:6">
      <c r="B264" t="s">
        <v>1300</v>
      </c>
      <c r="C264" t="s">
        <v>259</v>
      </c>
      <c r="D264" s="105">
        <v>45657</v>
      </c>
      <c r="E264" t="s">
        <v>149</v>
      </c>
      <c r="F264" s="22">
        <v>85851.81</v>
      </c>
    </row>
    <row r="265" spans="2:6">
      <c r="C265" t="s">
        <v>1627</v>
      </c>
      <c r="D265" s="105">
        <v>45670</v>
      </c>
      <c r="E265" t="s">
        <v>674</v>
      </c>
      <c r="F265" s="22">
        <v>810</v>
      </c>
    </row>
    <row r="266" spans="2:6">
      <c r="C266" t="s">
        <v>1628</v>
      </c>
      <c r="D266" s="105">
        <v>45911</v>
      </c>
      <c r="E266" t="s">
        <v>1373</v>
      </c>
      <c r="F266" s="22">
        <v>115</v>
      </c>
    </row>
    <row r="267" spans="2:6">
      <c r="B267" t="s">
        <v>1340</v>
      </c>
      <c r="C267"/>
      <c r="F267" s="22">
        <v>86776.81</v>
      </c>
    </row>
    <row r="268" spans="2:6">
      <c r="B268" t="s">
        <v>1301</v>
      </c>
      <c r="C268" t="s">
        <v>259</v>
      </c>
      <c r="D268" s="105">
        <v>45657</v>
      </c>
      <c r="E268" t="s">
        <v>149</v>
      </c>
      <c r="F268" s="22">
        <v>7841.58</v>
      </c>
    </row>
    <row r="269" spans="2:6">
      <c r="C269" t="s">
        <v>1027</v>
      </c>
      <c r="D269" s="105">
        <v>45838</v>
      </c>
      <c r="E269" t="s">
        <v>151</v>
      </c>
      <c r="F269" s="22">
        <v>1575</v>
      </c>
    </row>
    <row r="270" spans="2:6">
      <c r="B270" t="s">
        <v>1341</v>
      </c>
      <c r="C270"/>
      <c r="F270" s="22">
        <v>9416.58</v>
      </c>
    </row>
    <row r="271" spans="2:6">
      <c r="B271" t="s">
        <v>1557</v>
      </c>
      <c r="C271" t="s">
        <v>259</v>
      </c>
      <c r="D271" s="105">
        <v>45657</v>
      </c>
      <c r="E271" t="s">
        <v>149</v>
      </c>
      <c r="F271" s="22">
        <v>74445.929999999993</v>
      </c>
    </row>
    <row r="272" spans="2:6">
      <c r="C272" t="s">
        <v>1629</v>
      </c>
      <c r="D272" s="105">
        <v>45911</v>
      </c>
      <c r="E272" t="s">
        <v>1373</v>
      </c>
      <c r="F272" s="22">
        <v>458.75</v>
      </c>
    </row>
    <row r="273" spans="2:6">
      <c r="B273" t="s">
        <v>1558</v>
      </c>
      <c r="C273"/>
      <c r="F273" s="22">
        <v>74904.679999999993</v>
      </c>
    </row>
    <row r="274" spans="2:6">
      <c r="B274" t="s">
        <v>1302</v>
      </c>
      <c r="C274" t="s">
        <v>259</v>
      </c>
      <c r="D274" s="105">
        <v>45657</v>
      </c>
      <c r="E274" t="s">
        <v>149</v>
      </c>
      <c r="F274" s="22">
        <v>1904.57</v>
      </c>
    </row>
    <row r="275" spans="2:6">
      <c r="B275" t="s">
        <v>1342</v>
      </c>
      <c r="C275"/>
      <c r="F275" s="22">
        <v>1904.57</v>
      </c>
    </row>
    <row r="276" spans="2:6">
      <c r="B276" t="s">
        <v>1303</v>
      </c>
      <c r="C276" t="s">
        <v>259</v>
      </c>
      <c r="D276" s="105">
        <v>45657</v>
      </c>
      <c r="E276" t="s">
        <v>149</v>
      </c>
      <c r="F276" s="22">
        <v>83609.789999999994</v>
      </c>
    </row>
    <row r="277" spans="2:6">
      <c r="B277" t="s">
        <v>1343</v>
      </c>
      <c r="C277"/>
      <c r="F277" s="22">
        <v>83609.789999999994</v>
      </c>
    </row>
    <row r="278" spans="2:6">
      <c r="B278" t="s">
        <v>1559</v>
      </c>
      <c r="C278" t="s">
        <v>259</v>
      </c>
      <c r="D278" s="105">
        <v>45657</v>
      </c>
      <c r="E278" t="s">
        <v>149</v>
      </c>
      <c r="F278" s="22">
        <v>31717.71</v>
      </c>
    </row>
    <row r="279" spans="2:6">
      <c r="B279" t="s">
        <v>1560</v>
      </c>
      <c r="C279"/>
      <c r="F279" s="22">
        <v>31717.71</v>
      </c>
    </row>
    <row r="280" spans="2:6">
      <c r="B280" t="s">
        <v>1603</v>
      </c>
      <c r="C280" t="s">
        <v>259</v>
      </c>
      <c r="D280" s="105">
        <v>45657</v>
      </c>
      <c r="E280" t="s">
        <v>149</v>
      </c>
      <c r="F280" s="22">
        <v>16866</v>
      </c>
    </row>
    <row r="281" spans="2:6">
      <c r="C281" t="s">
        <v>1630</v>
      </c>
      <c r="D281" s="105">
        <v>45869</v>
      </c>
      <c r="E281" t="s">
        <v>1373</v>
      </c>
      <c r="F281" s="22">
        <v>1750</v>
      </c>
    </row>
    <row r="282" spans="2:6">
      <c r="B282" t="s">
        <v>1606</v>
      </c>
      <c r="C282"/>
      <c r="F282" s="22">
        <v>18616</v>
      </c>
    </row>
    <row r="283" spans="2:6">
      <c r="B283" t="s">
        <v>1604</v>
      </c>
      <c r="C283" t="s">
        <v>259</v>
      </c>
      <c r="D283" s="105">
        <v>45657</v>
      </c>
      <c r="E283" t="s">
        <v>149</v>
      </c>
      <c r="F283" s="22">
        <v>19899.5</v>
      </c>
    </row>
    <row r="284" spans="2:6">
      <c r="B284" t="s">
        <v>1607</v>
      </c>
      <c r="C284"/>
      <c r="F284" s="22">
        <v>19899.5</v>
      </c>
    </row>
    <row r="285" spans="2:6">
      <c r="B285" t="s">
        <v>1605</v>
      </c>
      <c r="C285" t="s">
        <v>259</v>
      </c>
      <c r="D285" s="105">
        <v>45657</v>
      </c>
      <c r="E285" t="s">
        <v>149</v>
      </c>
      <c r="F285" s="22">
        <v>15290.11</v>
      </c>
    </row>
    <row r="286" spans="2:6">
      <c r="B286" t="s">
        <v>1608</v>
      </c>
      <c r="C286"/>
      <c r="F286" s="22">
        <v>15290.11</v>
      </c>
    </row>
    <row r="287" spans="2:6">
      <c r="B287" t="s">
        <v>1304</v>
      </c>
      <c r="C287" t="s">
        <v>259</v>
      </c>
      <c r="D287" s="105">
        <v>45657</v>
      </c>
      <c r="E287" t="s">
        <v>149</v>
      </c>
      <c r="F287" s="22">
        <v>28484.19</v>
      </c>
    </row>
    <row r="288" spans="2:6">
      <c r="C288" t="s">
        <v>1649</v>
      </c>
      <c r="D288" s="105">
        <v>45913</v>
      </c>
      <c r="E288" t="s">
        <v>674</v>
      </c>
      <c r="F288" s="22">
        <v>1620</v>
      </c>
    </row>
    <row r="289" spans="2:6">
      <c r="B289" t="s">
        <v>1344</v>
      </c>
      <c r="C289"/>
      <c r="F289" s="22">
        <v>30104.19</v>
      </c>
    </row>
    <row r="290" spans="2:6">
      <c r="B290" t="s">
        <v>1305</v>
      </c>
      <c r="C290" t="s">
        <v>259</v>
      </c>
      <c r="D290" s="105">
        <v>45657</v>
      </c>
      <c r="E290" t="s">
        <v>149</v>
      </c>
      <c r="F290" s="22">
        <v>52201.16</v>
      </c>
    </row>
    <row r="291" spans="2:6">
      <c r="B291" t="s">
        <v>1345</v>
      </c>
      <c r="C291"/>
      <c r="F291" s="22">
        <v>52201.16</v>
      </c>
    </row>
    <row r="292" spans="2:6">
      <c r="B292" t="s">
        <v>1262</v>
      </c>
      <c r="C292" t="s">
        <v>259</v>
      </c>
      <c r="D292" s="105">
        <v>45657</v>
      </c>
      <c r="E292" t="s">
        <v>149</v>
      </c>
      <c r="F292" s="22">
        <v>5863.99</v>
      </c>
    </row>
    <row r="293" spans="2:6">
      <c r="B293" t="s">
        <v>1346</v>
      </c>
      <c r="C293"/>
      <c r="F293" s="22">
        <v>5863.99</v>
      </c>
    </row>
    <row r="294" spans="2:6">
      <c r="B294" t="s">
        <v>1263</v>
      </c>
      <c r="C294" t="s">
        <v>259</v>
      </c>
      <c r="D294" s="105">
        <v>45657</v>
      </c>
      <c r="E294" t="s">
        <v>149</v>
      </c>
      <c r="F294" s="22">
        <v>5697.21</v>
      </c>
    </row>
    <row r="295" spans="2:6">
      <c r="B295" t="s">
        <v>1347</v>
      </c>
      <c r="C295"/>
      <c r="F295" s="22">
        <v>5697.21</v>
      </c>
    </row>
    <row r="296" spans="2:6">
      <c r="B296" t="s">
        <v>1264</v>
      </c>
      <c r="C296" t="s">
        <v>259</v>
      </c>
      <c r="D296" s="105">
        <v>45657</v>
      </c>
      <c r="E296" t="s">
        <v>149</v>
      </c>
      <c r="F296" s="22">
        <v>42390.98</v>
      </c>
    </row>
    <row r="297" spans="2:6">
      <c r="B297" t="s">
        <v>1348</v>
      </c>
      <c r="C297"/>
      <c r="F297" s="22">
        <v>42390.98</v>
      </c>
    </row>
    <row r="298" spans="2:6">
      <c r="B298" t="s">
        <v>1265</v>
      </c>
      <c r="C298" t="s">
        <v>259</v>
      </c>
      <c r="D298" s="105">
        <v>45657</v>
      </c>
      <c r="E298" t="s">
        <v>149</v>
      </c>
      <c r="F298" s="22">
        <v>5116.1899999999996</v>
      </c>
    </row>
    <row r="299" spans="2:6">
      <c r="B299" t="s">
        <v>1349</v>
      </c>
      <c r="C299"/>
      <c r="F299" s="22">
        <v>5116.1899999999996</v>
      </c>
    </row>
    <row r="300" spans="2:6">
      <c r="B300" t="s">
        <v>1266</v>
      </c>
      <c r="C300" t="s">
        <v>259</v>
      </c>
      <c r="D300" s="105">
        <v>45657</v>
      </c>
      <c r="E300" t="s">
        <v>149</v>
      </c>
      <c r="F300" s="22">
        <v>14278.39</v>
      </c>
    </row>
    <row r="301" spans="2:6">
      <c r="B301" t="s">
        <v>1350</v>
      </c>
      <c r="C301"/>
      <c r="F301" s="22">
        <v>14278.39</v>
      </c>
    </row>
    <row r="302" spans="2:6">
      <c r="B302" t="s">
        <v>1267</v>
      </c>
      <c r="C302" t="s">
        <v>259</v>
      </c>
      <c r="D302" s="105">
        <v>45657</v>
      </c>
      <c r="E302" t="s">
        <v>149</v>
      </c>
      <c r="F302" s="22">
        <v>14476.64</v>
      </c>
    </row>
    <row r="303" spans="2:6">
      <c r="B303" t="s">
        <v>1351</v>
      </c>
      <c r="C303"/>
      <c r="F303" s="22">
        <v>14476.64</v>
      </c>
    </row>
    <row r="304" spans="2:6">
      <c r="B304" t="s">
        <v>1268</v>
      </c>
      <c r="C304" t="s">
        <v>259</v>
      </c>
      <c r="D304" s="105">
        <v>45657</v>
      </c>
      <c r="E304" t="s">
        <v>149</v>
      </c>
      <c r="F304" s="22">
        <v>14833.25</v>
      </c>
    </row>
    <row r="305" spans="2:6">
      <c r="B305" t="s">
        <v>1352</v>
      </c>
      <c r="C305"/>
      <c r="F305" s="22">
        <v>14833.25</v>
      </c>
    </row>
    <row r="306" spans="2:6">
      <c r="B306" t="s">
        <v>1561</v>
      </c>
      <c r="C306" t="s">
        <v>259</v>
      </c>
      <c r="D306" s="105">
        <v>45657</v>
      </c>
      <c r="E306" t="s">
        <v>149</v>
      </c>
      <c r="F306" s="22">
        <v>26138.959999999999</v>
      </c>
    </row>
    <row r="307" spans="2:6">
      <c r="B307" t="s">
        <v>1562</v>
      </c>
      <c r="C307"/>
      <c r="F307" s="22">
        <v>26138.959999999999</v>
      </c>
    </row>
    <row r="308" spans="2:6">
      <c r="B308" t="s">
        <v>1269</v>
      </c>
      <c r="C308" t="s">
        <v>259</v>
      </c>
      <c r="D308" s="105">
        <v>45657</v>
      </c>
      <c r="E308" t="s">
        <v>149</v>
      </c>
      <c r="F308" s="22">
        <v>27820.74</v>
      </c>
    </row>
    <row r="309" spans="2:6">
      <c r="B309" t="s">
        <v>1353</v>
      </c>
      <c r="C309"/>
      <c r="F309" s="22">
        <v>27820.74</v>
      </c>
    </row>
    <row r="310" spans="2:6">
      <c r="B310" t="s">
        <v>1270</v>
      </c>
      <c r="C310" t="s">
        <v>259</v>
      </c>
      <c r="D310" s="105">
        <v>45657</v>
      </c>
      <c r="E310" t="s">
        <v>149</v>
      </c>
      <c r="F310" s="22">
        <v>13549.38</v>
      </c>
    </row>
    <row r="311" spans="2:6">
      <c r="B311" t="s">
        <v>1354</v>
      </c>
      <c r="C311"/>
      <c r="F311" s="22">
        <v>13549.38</v>
      </c>
    </row>
    <row r="312" spans="2:6">
      <c r="B312" t="s">
        <v>1271</v>
      </c>
      <c r="C312" t="s">
        <v>259</v>
      </c>
      <c r="D312" s="105">
        <v>45657</v>
      </c>
      <c r="E312" t="s">
        <v>149</v>
      </c>
      <c r="F312" s="22">
        <v>6931.72</v>
      </c>
    </row>
    <row r="313" spans="2:6">
      <c r="B313" t="s">
        <v>1355</v>
      </c>
      <c r="C313"/>
      <c r="F313" s="22">
        <v>6931.72</v>
      </c>
    </row>
    <row r="314" spans="2:6">
      <c r="B314" t="s">
        <v>1272</v>
      </c>
      <c r="C314" t="s">
        <v>259</v>
      </c>
      <c r="D314" s="105">
        <v>45657</v>
      </c>
      <c r="E314" t="s">
        <v>149</v>
      </c>
      <c r="F314" s="22">
        <v>12131.08</v>
      </c>
    </row>
    <row r="315" spans="2:6">
      <c r="B315" t="s">
        <v>1356</v>
      </c>
      <c r="C315"/>
      <c r="F315" s="22">
        <v>12131.08</v>
      </c>
    </row>
    <row r="316" spans="2:6">
      <c r="B316" t="s">
        <v>1273</v>
      </c>
      <c r="C316" t="s">
        <v>259</v>
      </c>
      <c r="D316" s="105">
        <v>45657</v>
      </c>
      <c r="E316" t="s">
        <v>149</v>
      </c>
      <c r="F316" s="22">
        <v>7527.12</v>
      </c>
    </row>
    <row r="317" spans="2:6">
      <c r="B317" t="s">
        <v>1357</v>
      </c>
      <c r="C317"/>
      <c r="F317" s="22">
        <v>7527.12</v>
      </c>
    </row>
    <row r="318" spans="2:6">
      <c r="B318" t="s">
        <v>1654</v>
      </c>
      <c r="C318" t="s">
        <v>1661</v>
      </c>
      <c r="D318" s="105">
        <v>45953</v>
      </c>
      <c r="E318" t="s">
        <v>1468</v>
      </c>
      <c r="F318" s="22">
        <v>-7325.7400000000016</v>
      </c>
    </row>
    <row r="319" spans="2:6">
      <c r="B319" t="s">
        <v>1659</v>
      </c>
      <c r="C319"/>
      <c r="F319" s="22">
        <v>-7325.7400000000016</v>
      </c>
    </row>
    <row r="320" spans="2:6">
      <c r="B320" t="s">
        <v>148</v>
      </c>
      <c r="C320"/>
      <c r="F320" s="22">
        <v>-3.2168827601708472E-9</v>
      </c>
    </row>
    <row r="321" spans="3:3">
      <c r="C321"/>
    </row>
    <row r="322" spans="3:3">
      <c r="C322"/>
    </row>
    <row r="323" spans="3:3">
      <c r="C323"/>
    </row>
    <row r="324" spans="3:3">
      <c r="C324"/>
    </row>
    <row r="325" spans="3:3">
      <c r="C325"/>
    </row>
    <row r="326" spans="3:3">
      <c r="C326"/>
    </row>
    <row r="327" spans="3:3">
      <c r="C327"/>
    </row>
    <row r="328" spans="3:3">
      <c r="C328"/>
    </row>
    <row r="329" spans="3:3">
      <c r="C329"/>
    </row>
    <row r="330" spans="3:3">
      <c r="C330"/>
    </row>
    <row r="331" spans="3:3">
      <c r="C331"/>
    </row>
    <row r="332" spans="3:3">
      <c r="C332"/>
    </row>
    <row r="333" spans="3:3">
      <c r="C333"/>
    </row>
    <row r="334" spans="3:3">
      <c r="C334"/>
    </row>
    <row r="335" spans="3:3">
      <c r="C335"/>
    </row>
    <row r="336" spans="3:3">
      <c r="C336"/>
    </row>
    <row r="337" spans="3:3">
      <c r="C337"/>
    </row>
    <row r="338" spans="3:3">
      <c r="C338"/>
    </row>
    <row r="339" spans="3:3">
      <c r="C339"/>
    </row>
    <row r="340" spans="3:3">
      <c r="C340"/>
    </row>
    <row r="341" spans="3:3">
      <c r="C341"/>
    </row>
    <row r="342" spans="3:3">
      <c r="C342"/>
    </row>
    <row r="343" spans="3:3">
      <c r="C343"/>
    </row>
    <row r="344" spans="3:3">
      <c r="C344"/>
    </row>
    <row r="345" spans="3:3">
      <c r="C345"/>
    </row>
    <row r="346" spans="3:3">
      <c r="C346"/>
    </row>
    <row r="347" spans="3:3">
      <c r="C347"/>
    </row>
    <row r="348" spans="3:3">
      <c r="C348"/>
    </row>
    <row r="349" spans="3:3">
      <c r="C349"/>
    </row>
    <row r="350" spans="3:3">
      <c r="C350"/>
    </row>
    <row r="351" spans="3:3">
      <c r="C351"/>
    </row>
    <row r="352" spans="3:3">
      <c r="C352"/>
    </row>
    <row r="353" spans="3:3">
      <c r="C353"/>
    </row>
    <row r="354" spans="3:3">
      <c r="C354"/>
    </row>
    <row r="355" spans="3:3">
      <c r="C355"/>
    </row>
    <row r="356" spans="3:3">
      <c r="C356"/>
    </row>
    <row r="357" spans="3:3">
      <c r="C357"/>
    </row>
    <row r="358" spans="3:3">
      <c r="C358"/>
    </row>
    <row r="359" spans="3:3">
      <c r="C359"/>
    </row>
    <row r="360" spans="3:3">
      <c r="C360"/>
    </row>
    <row r="361" spans="3:3">
      <c r="C361"/>
    </row>
    <row r="362" spans="3:3">
      <c r="C362"/>
    </row>
    <row r="363" spans="3:3">
      <c r="C363"/>
    </row>
    <row r="364" spans="3:3">
      <c r="C364"/>
    </row>
    <row r="365" spans="3:3">
      <c r="C365"/>
    </row>
    <row r="366" spans="3:3">
      <c r="C366"/>
    </row>
    <row r="367" spans="3:3">
      <c r="C367"/>
    </row>
    <row r="368" spans="3:3">
      <c r="C368"/>
    </row>
    <row r="369" spans="3:3">
      <c r="C369"/>
    </row>
    <row r="370" spans="3:3">
      <c r="C370"/>
    </row>
    <row r="371" spans="3:3">
      <c r="C371"/>
    </row>
    <row r="372" spans="3:3">
      <c r="C372"/>
    </row>
    <row r="373" spans="3:3">
      <c r="C373"/>
    </row>
    <row r="374" spans="3:3">
      <c r="C374"/>
    </row>
    <row r="375" spans="3:3">
      <c r="C375"/>
    </row>
    <row r="376" spans="3:3">
      <c r="C376"/>
    </row>
    <row r="377" spans="3:3">
      <c r="C377"/>
    </row>
    <row r="378" spans="3:3">
      <c r="C378"/>
    </row>
    <row r="379" spans="3:3">
      <c r="C379"/>
    </row>
    <row r="380" spans="3:3">
      <c r="C380"/>
    </row>
    <row r="381" spans="3:3">
      <c r="C381"/>
    </row>
    <row r="382" spans="3:3">
      <c r="C382"/>
    </row>
    <row r="383" spans="3:3">
      <c r="C383"/>
    </row>
    <row r="384" spans="3:3">
      <c r="C384"/>
    </row>
    <row r="385" spans="3:3">
      <c r="C385"/>
    </row>
    <row r="386" spans="3:3">
      <c r="C386"/>
    </row>
    <row r="387" spans="3:3">
      <c r="C387"/>
    </row>
    <row r="388" spans="3:3">
      <c r="C388"/>
    </row>
    <row r="389" spans="3:3">
      <c r="C389"/>
    </row>
    <row r="390" spans="3:3">
      <c r="C390"/>
    </row>
    <row r="391" spans="3:3">
      <c r="C391"/>
    </row>
    <row r="392" spans="3:3">
      <c r="C392"/>
    </row>
    <row r="393" spans="3:3">
      <c r="C393"/>
    </row>
    <row r="394" spans="3:3">
      <c r="C394"/>
    </row>
    <row r="395" spans="3:3">
      <c r="C395"/>
    </row>
    <row r="396" spans="3:3">
      <c r="C396"/>
    </row>
    <row r="397" spans="3:3">
      <c r="C397"/>
    </row>
    <row r="398" spans="3:3">
      <c r="C398"/>
    </row>
    <row r="399" spans="3:3">
      <c r="C399"/>
    </row>
    <row r="400" spans="3:3">
      <c r="C400"/>
    </row>
    <row r="401" spans="3:3">
      <c r="C401"/>
    </row>
    <row r="402" spans="3:3">
      <c r="C402"/>
    </row>
    <row r="403" spans="3:3">
      <c r="C403"/>
    </row>
    <row r="404" spans="3:3">
      <c r="C404"/>
    </row>
    <row r="405" spans="3:3">
      <c r="C405"/>
    </row>
    <row r="406" spans="3:3">
      <c r="C406"/>
    </row>
    <row r="407" spans="3:3">
      <c r="C407"/>
    </row>
    <row r="408" spans="3:3">
      <c r="C408"/>
    </row>
    <row r="409" spans="3:3">
      <c r="C409"/>
    </row>
    <row r="410" spans="3:3">
      <c r="C410"/>
    </row>
    <row r="411" spans="3:3">
      <c r="C411"/>
    </row>
    <row r="412" spans="3:3">
      <c r="C412"/>
    </row>
    <row r="413" spans="3:3">
      <c r="C413"/>
    </row>
    <row r="414" spans="3:3">
      <c r="C414"/>
    </row>
    <row r="415" spans="3:3">
      <c r="C415"/>
    </row>
    <row r="416" spans="3:3">
      <c r="C416"/>
    </row>
    <row r="417" spans="3:3">
      <c r="C417"/>
    </row>
    <row r="418" spans="3:3">
      <c r="C418"/>
    </row>
    <row r="419" spans="3:3">
      <c r="C419"/>
    </row>
    <row r="420" spans="3:3">
      <c r="C420"/>
    </row>
    <row r="421" spans="3:3">
      <c r="C421"/>
    </row>
    <row r="422" spans="3:3">
      <c r="C422"/>
    </row>
    <row r="423" spans="3:3">
      <c r="C423"/>
    </row>
    <row r="424" spans="3:3">
      <c r="C424"/>
    </row>
    <row r="425" spans="3:3">
      <c r="C425"/>
    </row>
    <row r="426" spans="3:3">
      <c r="C426"/>
    </row>
    <row r="427" spans="3:3">
      <c r="C427"/>
    </row>
    <row r="428" spans="3:3">
      <c r="C428"/>
    </row>
    <row r="429" spans="3:3">
      <c r="C429"/>
    </row>
    <row r="430" spans="3:3">
      <c r="C430"/>
    </row>
    <row r="431" spans="3:3">
      <c r="C431"/>
    </row>
    <row r="432" spans="3:3">
      <c r="C432"/>
    </row>
    <row r="433" spans="3:3">
      <c r="C433"/>
    </row>
    <row r="434" spans="3:3">
      <c r="C434"/>
    </row>
    <row r="435" spans="3:3">
      <c r="C435"/>
    </row>
    <row r="436" spans="3:3">
      <c r="C436"/>
    </row>
    <row r="437" spans="3:3">
      <c r="C437"/>
    </row>
    <row r="438" spans="3:3">
      <c r="C438"/>
    </row>
    <row r="439" spans="3:3">
      <c r="C439"/>
    </row>
    <row r="440" spans="3:3">
      <c r="C440"/>
    </row>
    <row r="441" spans="3:3">
      <c r="C441"/>
    </row>
    <row r="442" spans="3:3">
      <c r="C442"/>
    </row>
    <row r="443" spans="3:3">
      <c r="C443"/>
    </row>
    <row r="444" spans="3:3">
      <c r="C444"/>
    </row>
    <row r="445" spans="3:3">
      <c r="C445"/>
    </row>
    <row r="446" spans="3:3">
      <c r="C446"/>
    </row>
    <row r="447" spans="3:3">
      <c r="C447"/>
    </row>
    <row r="448" spans="3:3">
      <c r="C448"/>
    </row>
    <row r="449" spans="3:3">
      <c r="C449"/>
    </row>
    <row r="450" spans="3:3">
      <c r="C450"/>
    </row>
    <row r="451" spans="3:3">
      <c r="C451"/>
    </row>
    <row r="452" spans="3:3">
      <c r="C452"/>
    </row>
    <row r="453" spans="3:3">
      <c r="C453"/>
    </row>
    <row r="454" spans="3:3">
      <c r="C454"/>
    </row>
    <row r="455" spans="3:3">
      <c r="C455"/>
    </row>
    <row r="456" spans="3:3">
      <c r="C456"/>
    </row>
    <row r="457" spans="3:3">
      <c r="C457"/>
    </row>
    <row r="458" spans="3:3">
      <c r="C458"/>
    </row>
    <row r="459" spans="3:3">
      <c r="C459"/>
    </row>
    <row r="460" spans="3:3">
      <c r="C460"/>
    </row>
    <row r="461" spans="3:3">
      <c r="C461"/>
    </row>
    <row r="462" spans="3:3">
      <c r="C462"/>
    </row>
    <row r="463" spans="3:3">
      <c r="C463"/>
    </row>
    <row r="464" spans="3:3">
      <c r="C464"/>
    </row>
    <row r="465" spans="3:3">
      <c r="C465"/>
    </row>
    <row r="466" spans="3:3">
      <c r="C466"/>
    </row>
    <row r="467" spans="3:3">
      <c r="C467"/>
    </row>
    <row r="468" spans="3:3">
      <c r="C468"/>
    </row>
    <row r="469" spans="3:3">
      <c r="C469"/>
    </row>
    <row r="470" spans="3:3">
      <c r="C470"/>
    </row>
    <row r="471" spans="3:3">
      <c r="C471"/>
    </row>
    <row r="472" spans="3:3">
      <c r="C472"/>
    </row>
    <row r="473" spans="3:3">
      <c r="C473"/>
    </row>
    <row r="474" spans="3:3">
      <c r="C474"/>
    </row>
    <row r="475" spans="3:3">
      <c r="C475"/>
    </row>
    <row r="476" spans="3:3">
      <c r="C476"/>
    </row>
    <row r="477" spans="3:3">
      <c r="C477"/>
    </row>
    <row r="478" spans="3:3">
      <c r="C478"/>
    </row>
    <row r="479" spans="3:3">
      <c r="C479"/>
    </row>
    <row r="480" spans="3:3">
      <c r="C480"/>
    </row>
    <row r="481" spans="3:3">
      <c r="C481"/>
    </row>
    <row r="482" spans="3:3">
      <c r="C482"/>
    </row>
    <row r="483" spans="3:3">
      <c r="C483"/>
    </row>
    <row r="484" spans="3:3">
      <c r="C484"/>
    </row>
    <row r="485" spans="3:3">
      <c r="C485"/>
    </row>
    <row r="486" spans="3:3">
      <c r="C486"/>
    </row>
    <row r="487" spans="3:3">
      <c r="C487"/>
    </row>
    <row r="488" spans="3:3">
      <c r="C488"/>
    </row>
    <row r="489" spans="3:3">
      <c r="C489"/>
    </row>
    <row r="490" spans="3:3">
      <c r="C490"/>
    </row>
    <row r="491" spans="3:3">
      <c r="C491"/>
    </row>
    <row r="492" spans="3:3">
      <c r="C492"/>
    </row>
    <row r="493" spans="3:3">
      <c r="C493"/>
    </row>
    <row r="494" spans="3:3">
      <c r="C494"/>
    </row>
    <row r="495" spans="3:3">
      <c r="C495"/>
    </row>
    <row r="496" spans="3:3">
      <c r="C496"/>
    </row>
    <row r="497" spans="3:3">
      <c r="C497"/>
    </row>
    <row r="498" spans="3:3">
      <c r="C498"/>
    </row>
    <row r="499" spans="3:3">
      <c r="C499"/>
    </row>
    <row r="500" spans="3:3">
      <c r="C500"/>
    </row>
    <row r="501" spans="3:3">
      <c r="C501"/>
    </row>
    <row r="502" spans="3:3">
      <c r="C502"/>
    </row>
    <row r="503" spans="3:3">
      <c r="C503"/>
    </row>
    <row r="504" spans="3:3">
      <c r="C504"/>
    </row>
    <row r="505" spans="3:3">
      <c r="C505"/>
    </row>
    <row r="506" spans="3:3">
      <c r="C506"/>
    </row>
    <row r="507" spans="3:3">
      <c r="C507"/>
    </row>
    <row r="508" spans="3:3">
      <c r="C508"/>
    </row>
    <row r="509" spans="3:3">
      <c r="C509"/>
    </row>
    <row r="510" spans="3:3">
      <c r="C510"/>
    </row>
    <row r="511" spans="3:3">
      <c r="C511"/>
    </row>
    <row r="512" spans="3:3">
      <c r="C512"/>
    </row>
    <row r="513" spans="3:3">
      <c r="C513"/>
    </row>
    <row r="514" spans="3:3">
      <c r="C514"/>
    </row>
    <row r="515" spans="3:3">
      <c r="C515"/>
    </row>
    <row r="516" spans="3:3">
      <c r="C516"/>
    </row>
    <row r="517" spans="3:3">
      <c r="C517"/>
    </row>
    <row r="518" spans="3:3">
      <c r="C518"/>
    </row>
    <row r="519" spans="3:3">
      <c r="C519"/>
    </row>
    <row r="520" spans="3:3">
      <c r="C520"/>
    </row>
    <row r="521" spans="3:3">
      <c r="C521"/>
    </row>
    <row r="522" spans="3:3">
      <c r="C522"/>
    </row>
    <row r="523" spans="3:3">
      <c r="C523"/>
    </row>
    <row r="524" spans="3:3">
      <c r="C524"/>
    </row>
    <row r="525" spans="3:3">
      <c r="C525"/>
    </row>
    <row r="526" spans="3:3">
      <c r="C526"/>
    </row>
    <row r="527" spans="3:3">
      <c r="C527"/>
    </row>
    <row r="528" spans="3:3">
      <c r="C528"/>
    </row>
    <row r="529" spans="3:3">
      <c r="C529"/>
    </row>
    <row r="530" spans="3:3">
      <c r="C530"/>
    </row>
    <row r="531" spans="3:3">
      <c r="C531"/>
    </row>
    <row r="532" spans="3:3">
      <c r="C532"/>
    </row>
    <row r="533" spans="3:3">
      <c r="C533"/>
    </row>
    <row r="534" spans="3:3">
      <c r="C534"/>
    </row>
    <row r="535" spans="3:3">
      <c r="C535"/>
    </row>
    <row r="536" spans="3:3">
      <c r="C536"/>
    </row>
    <row r="537" spans="3:3">
      <c r="C537"/>
    </row>
    <row r="538" spans="3:3">
      <c r="C538"/>
    </row>
    <row r="539" spans="3:3">
      <c r="C539"/>
    </row>
    <row r="540" spans="3:3">
      <c r="C540"/>
    </row>
    <row r="541" spans="3:3">
      <c r="C541"/>
    </row>
    <row r="542" spans="3:3">
      <c r="C542"/>
    </row>
    <row r="543" spans="3:3">
      <c r="C543"/>
    </row>
    <row r="544" spans="3:3">
      <c r="C544"/>
    </row>
    <row r="545" spans="3:3">
      <c r="C545"/>
    </row>
    <row r="546" spans="3:3">
      <c r="C546"/>
    </row>
    <row r="547" spans="3:3">
      <c r="C547"/>
    </row>
    <row r="548" spans="3:3">
      <c r="C548"/>
    </row>
    <row r="549" spans="3:3">
      <c r="C549"/>
    </row>
    <row r="550" spans="3:3">
      <c r="C550"/>
    </row>
    <row r="551" spans="3:3">
      <c r="C551"/>
    </row>
    <row r="552" spans="3:3">
      <c r="C552"/>
    </row>
    <row r="553" spans="3:3">
      <c r="C553"/>
    </row>
    <row r="554" spans="3:3">
      <c r="C554"/>
    </row>
    <row r="555" spans="3:3">
      <c r="C555"/>
    </row>
    <row r="556" spans="3:3">
      <c r="C556"/>
    </row>
    <row r="557" spans="3:3">
      <c r="C557"/>
    </row>
    <row r="558" spans="3:3">
      <c r="C558"/>
    </row>
    <row r="559" spans="3:3">
      <c r="C559"/>
    </row>
    <row r="560" spans="3:3">
      <c r="C560"/>
    </row>
    <row r="561" spans="3:3">
      <c r="C561"/>
    </row>
    <row r="562" spans="3:3">
      <c r="C562"/>
    </row>
    <row r="563" spans="3:3">
      <c r="C563"/>
    </row>
    <row r="564" spans="3:3">
      <c r="C564"/>
    </row>
    <row r="565" spans="3:3">
      <c r="C565"/>
    </row>
    <row r="566" spans="3:3">
      <c r="C566"/>
    </row>
    <row r="567" spans="3:3">
      <c r="C567"/>
    </row>
    <row r="568" spans="3:3">
      <c r="C568"/>
    </row>
    <row r="569" spans="3:3">
      <c r="C569"/>
    </row>
    <row r="570" spans="3:3">
      <c r="C570"/>
    </row>
    <row r="571" spans="3:3">
      <c r="C571"/>
    </row>
    <row r="572" spans="3:3">
      <c r="C572"/>
    </row>
    <row r="573" spans="3:3">
      <c r="C573"/>
    </row>
    <row r="574" spans="3:3">
      <c r="C574"/>
    </row>
    <row r="575" spans="3:3">
      <c r="C575"/>
    </row>
    <row r="576" spans="3:3">
      <c r="C576"/>
    </row>
    <row r="577" spans="3:3">
      <c r="C577"/>
    </row>
    <row r="578" spans="3:3">
      <c r="C578"/>
    </row>
    <row r="579" spans="3:3">
      <c r="C579"/>
    </row>
    <row r="580" spans="3:3">
      <c r="C580"/>
    </row>
    <row r="581" spans="3:3">
      <c r="C581"/>
    </row>
    <row r="582" spans="3:3">
      <c r="C582"/>
    </row>
    <row r="583" spans="3:3">
      <c r="C583"/>
    </row>
    <row r="584" spans="3:3">
      <c r="C584"/>
    </row>
  </sheetData>
  <mergeCells count="4">
    <mergeCell ref="B2:I2"/>
    <mergeCell ref="B3:I3"/>
    <mergeCell ref="B4:I4"/>
    <mergeCell ref="B6:I6"/>
  </mergeCells>
  <hyperlinks>
    <hyperlink ref="A1" location="'TABLE OF CONTENTS'!A1" display="INDEX" xr:uid="{F94296D4-47C7-488B-8C28-54778D8BE55F}"/>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CA754-1DF2-439B-AAA0-014BEFEC30F9}">
  <sheetPr codeName="Sheet10">
    <tabColor theme="5"/>
  </sheetPr>
  <dimension ref="A1:M33"/>
  <sheetViews>
    <sheetView workbookViewId="0"/>
  </sheetViews>
  <sheetFormatPr defaultColWidth="9.140625" defaultRowHeight="12.75"/>
  <cols>
    <col min="1" max="4" width="9.140625" style="362"/>
    <col min="5" max="5" width="2.5703125" style="362" customWidth="1"/>
    <col min="6" max="6" width="31.28515625" style="362" customWidth="1"/>
    <col min="7" max="7" width="13.5703125" style="362" customWidth="1"/>
    <col min="8" max="8" width="11.5703125" style="362" bestFit="1" customWidth="1"/>
    <col min="9" max="9" width="4.28515625" style="362" customWidth="1"/>
    <col min="10" max="10" width="9.140625" style="362"/>
    <col min="11" max="11" width="11.7109375" style="362" bestFit="1" customWidth="1"/>
    <col min="12" max="16384" width="9.140625" style="362"/>
  </cols>
  <sheetData>
    <row r="1" spans="1:11">
      <c r="A1" s="59" t="s">
        <v>1650</v>
      </c>
      <c r="C1" s="424" t="str">
        <f>F5</f>
        <v>CASH</v>
      </c>
      <c r="H1" s="362" t="s">
        <v>0</v>
      </c>
    </row>
    <row r="2" spans="1:11">
      <c r="A2" s="362" t="s">
        <v>1049</v>
      </c>
      <c r="B2" s="363"/>
      <c r="C2" s="363"/>
      <c r="D2" s="363"/>
      <c r="E2" s="363"/>
      <c r="F2" s="363"/>
      <c r="G2" s="363"/>
      <c r="H2" s="363"/>
    </row>
    <row r="3" spans="1:11">
      <c r="B3" s="363"/>
      <c r="C3" s="363"/>
      <c r="D3" s="363"/>
      <c r="E3" s="363"/>
      <c r="F3" s="363"/>
      <c r="G3" s="363"/>
      <c r="H3" s="363"/>
    </row>
    <row r="4" spans="1:11" ht="15.75">
      <c r="B4" s="363"/>
      <c r="D4" s="402"/>
      <c r="E4" s="402"/>
      <c r="F4" s="403" t="str">
        <f>UPPER(COA!B2)</f>
        <v>ANONYMOUS COMPANY</v>
      </c>
      <c r="G4" s="403"/>
      <c r="H4" s="403"/>
      <c r="I4" s="401" t="str">
        <f>MID(A2,1,1)</f>
        <v>A</v>
      </c>
    </row>
    <row r="5" spans="1:11" ht="15.75">
      <c r="B5" s="363"/>
      <c r="D5" s="404"/>
      <c r="E5" s="404"/>
      <c r="F5" s="405" t="str">
        <f>UPPER(_xlfn.XLOOKUP(A2,COA!G1:G174,COA!I1:I174))</f>
        <v>CASH</v>
      </c>
      <c r="G5" s="405"/>
      <c r="H5" s="405"/>
      <c r="I5" s="404"/>
      <c r="J5" s="404"/>
    </row>
    <row r="6" spans="1:11">
      <c r="B6" s="363"/>
      <c r="D6" s="406"/>
      <c r="E6" s="406"/>
      <c r="F6" s="407" t="str">
        <f>"FOR THE YEAR ENDED "&amp;UPPER(TEXT(COA!$B$4,"MMMM DD, YYYY"))</f>
        <v>FOR THE YEAR ENDED DECEMBER 31, 2025</v>
      </c>
      <c r="G6" s="407"/>
      <c r="H6" s="407"/>
    </row>
    <row r="7" spans="1:11">
      <c r="B7" s="363"/>
      <c r="C7" s="363"/>
      <c r="D7" s="363"/>
      <c r="E7" s="363"/>
      <c r="F7" s="363"/>
      <c r="G7" s="363"/>
      <c r="H7" s="363"/>
    </row>
    <row r="8" spans="1:11">
      <c r="B8" s="363"/>
      <c r="C8" s="364"/>
      <c r="D8" s="364"/>
      <c r="E8" s="365"/>
      <c r="F8" s="365"/>
      <c r="G8" s="364"/>
      <c r="H8" s="364"/>
    </row>
    <row r="9" spans="1:11" ht="13.5" thickBot="1">
      <c r="B9" s="1293" t="s">
        <v>357</v>
      </c>
      <c r="C9" s="1293"/>
      <c r="D9" s="1293"/>
      <c r="E9" s="366" t="s">
        <v>0</v>
      </c>
      <c r="F9" s="367" t="s">
        <v>356</v>
      </c>
      <c r="G9" s="368">
        <f>YEAR(COA!B4)</f>
        <v>2025</v>
      </c>
      <c r="H9" s="368">
        <f>G9-1</f>
        <v>2024</v>
      </c>
    </row>
    <row r="10" spans="1:11">
      <c r="B10" s="408" t="s">
        <v>358</v>
      </c>
      <c r="C10" s="409" t="s">
        <v>359</v>
      </c>
      <c r="D10" s="409" t="s">
        <v>360</v>
      </c>
      <c r="F10" s="369"/>
      <c r="G10" s="370"/>
      <c r="H10" s="370"/>
    </row>
    <row r="11" spans="1:11">
      <c r="B11" s="410">
        <f>IFERROR(MATCH(D11,M_COA[LSheetID],0),"")</f>
        <v>2</v>
      </c>
      <c r="C11" s="371">
        <f>1</f>
        <v>1</v>
      </c>
      <c r="D11" s="371" t="str">
        <f>_xlfn.CONCAT($I$4,C11)</f>
        <v>A1</v>
      </c>
      <c r="F11" s="398" t="str" cm="1">
        <f t="array" ref="F11">IFERROR(INDEX(M_COA[ACCOUNT],B11),0)</f>
        <v>1101 Cash on hand</v>
      </c>
      <c r="G11" s="398" cm="1">
        <f t="array" ref="G11">IFERROR(INDEX(M_COA[CY],B11),0)</f>
        <v>24875.53</v>
      </c>
      <c r="H11" s="398" cm="1">
        <f t="array" ref="H11">IFERROR(INDEX(M_COA[PY1],B11),0)</f>
        <v>34282.130000000005</v>
      </c>
    </row>
    <row r="12" spans="1:11">
      <c r="B12" s="410">
        <f>IFERROR(MATCH(D12,M_COA[LSheetID],0),"")</f>
        <v>3</v>
      </c>
      <c r="C12" s="371">
        <f t="shared" ref="C12:C15" si="0">C11+1</f>
        <v>2</v>
      </c>
      <c r="D12" s="371" t="str">
        <f>_xlfn.CONCAT($I$4,C12)</f>
        <v>A2</v>
      </c>
      <c r="F12" s="398" t="str" cm="1">
        <f t="array" ref="F12">IFERROR(INDEX(M_COA[ACCOUNT],B12),0)</f>
        <v>1102 General Bank Account</v>
      </c>
      <c r="G12" s="398" cm="1">
        <f t="array" ref="G12">IFERROR(INDEX(M_COA[CY],B12),0)</f>
        <v>52308.04</v>
      </c>
      <c r="H12" s="398" cm="1">
        <f t="array" ref="H12">IFERROR(INDEX(M_COA[PY1],B12),0)</f>
        <v>475211.080000002</v>
      </c>
    </row>
    <row r="13" spans="1:11">
      <c r="B13" s="410">
        <f>IFERROR(MATCH(D13,M_COA[LSheetID],0),"")</f>
        <v>4</v>
      </c>
      <c r="C13" s="371">
        <f t="shared" si="0"/>
        <v>3</v>
      </c>
      <c r="D13" s="371" t="str">
        <f>_xlfn.CONCAT($I$4,C13)</f>
        <v>A3</v>
      </c>
      <c r="F13" s="398" t="str" cm="1">
        <f t="array" ref="F13">IFERROR(INDEX(M_COA[ACCOUNT],B13),0)</f>
        <v>1103 BMO Overdraft</v>
      </c>
      <c r="G13" s="398" cm="1">
        <f t="array" ref="G13">IFERROR(INDEX(M_COA[CY],B13),0)</f>
        <v>0</v>
      </c>
      <c r="H13" s="398" cm="1">
        <f t="array" ref="H13">IFERROR(INDEX(M_COA[PY1],B13),0)</f>
        <v>0</v>
      </c>
      <c r="K13" s="424" t="s">
        <v>0</v>
      </c>
    </row>
    <row r="14" spans="1:11">
      <c r="B14" s="410">
        <f>IFERROR(MATCH(D14,M_COA[LSheetID],0),"")</f>
        <v>5</v>
      </c>
      <c r="C14" s="371">
        <f t="shared" si="0"/>
        <v>4</v>
      </c>
      <c r="D14" s="371" t="str">
        <f>_xlfn.CONCAT($I$4,C14)</f>
        <v>A4</v>
      </c>
      <c r="F14" s="398" t="str" cm="1">
        <f t="array" ref="F14">IFERROR(INDEX(M_COA[ACCOUNT],B14),0)</f>
        <v>1119 Bank Transfer Account</v>
      </c>
      <c r="G14" s="398" cm="1">
        <f t="array" ref="G14">IFERROR(INDEX(M_COA[CY],B14),0)</f>
        <v>0</v>
      </c>
      <c r="H14" s="398" cm="1">
        <f t="array" ref="H14">IFERROR(INDEX(M_COA[PY1],B14),0)</f>
        <v>0</v>
      </c>
    </row>
    <row r="15" spans="1:11">
      <c r="B15" s="410" t="str">
        <f>IFERROR(MATCH(D15,M_COA[LSheetID],0),"")</f>
        <v/>
      </c>
      <c r="C15" s="371">
        <f t="shared" si="0"/>
        <v>5</v>
      </c>
      <c r="D15" s="371" t="str">
        <f>_xlfn.CONCAT($I$4,C15)</f>
        <v>A5</v>
      </c>
      <c r="F15" s="398" cm="1">
        <f t="array" ref="F15">IFERROR(INDEX(M_COA[ACCOUNT],B15),0)</f>
        <v>0</v>
      </c>
      <c r="G15" s="417" cm="1">
        <f t="array" ref="G15">IFERROR(INDEX(M_COA[CY],B15),0)</f>
        <v>0</v>
      </c>
      <c r="H15" s="417" cm="1">
        <f t="array" ref="H15">IFERROR(INDEX(M_COA[PY1],B15),0)</f>
        <v>0</v>
      </c>
    </row>
    <row r="16" spans="1:11">
      <c r="B16" s="410" t="str">
        <f>IFERROR(MATCH(D16,M_COA[LSheetID],0),"")</f>
        <v/>
      </c>
      <c r="C16" s="371"/>
      <c r="D16" s="371"/>
      <c r="F16" s="398"/>
      <c r="G16" s="398"/>
      <c r="H16" s="398"/>
    </row>
    <row r="17" spans="2:13" ht="13.5" thickBot="1">
      <c r="B17" s="363"/>
      <c r="C17" s="371"/>
      <c r="D17" s="371"/>
      <c r="E17" s="371"/>
      <c r="F17" s="372"/>
      <c r="G17" s="411">
        <f>SUM(G11:G15)</f>
        <v>77183.570000000007</v>
      </c>
      <c r="H17" s="411">
        <f>SUM(H11:H15)</f>
        <v>509493.210000002</v>
      </c>
    </row>
    <row r="18" spans="2:13" ht="13.5" thickTop="1">
      <c r="B18" s="363"/>
      <c r="C18" s="373"/>
      <c r="D18" s="373"/>
      <c r="E18" s="373"/>
      <c r="F18" s="373"/>
      <c r="G18" s="374"/>
      <c r="H18" s="374"/>
    </row>
    <row r="19" spans="2:13">
      <c r="G19" s="412" t="s">
        <v>361</v>
      </c>
    </row>
    <row r="20" spans="2:13">
      <c r="F20" s="233" t="s">
        <v>0</v>
      </c>
    </row>
    <row r="21" spans="2:13">
      <c r="G21" s="424"/>
      <c r="H21" s="424"/>
      <c r="I21" s="424"/>
      <c r="J21" s="424"/>
      <c r="K21" s="424"/>
      <c r="L21" s="424"/>
      <c r="M21" s="424"/>
    </row>
    <row r="22" spans="2:13">
      <c r="G22" s="424"/>
      <c r="H22" s="424"/>
      <c r="I22" s="424"/>
      <c r="J22" s="424"/>
      <c r="K22" s="424"/>
      <c r="L22" s="424"/>
      <c r="M22" s="424"/>
    </row>
    <row r="23" spans="2:13">
      <c r="G23" s="424"/>
      <c r="H23" s="424"/>
      <c r="I23" s="424"/>
      <c r="J23" s="424"/>
      <c r="K23" s="424"/>
      <c r="L23" s="424"/>
      <c r="M23" s="424"/>
    </row>
    <row r="24" spans="2:13">
      <c r="G24" s="424"/>
      <c r="H24" s="424"/>
      <c r="I24" s="424"/>
      <c r="J24" s="424"/>
      <c r="K24" s="424"/>
      <c r="L24" s="424"/>
      <c r="M24" s="424"/>
    </row>
    <row r="25" spans="2:13">
      <c r="G25" s="424"/>
      <c r="H25" s="424"/>
      <c r="I25" s="424"/>
      <c r="J25" s="424"/>
      <c r="K25" s="424"/>
      <c r="L25" s="424"/>
      <c r="M25" s="424"/>
    </row>
    <row r="26" spans="2:13">
      <c r="G26" s="424"/>
      <c r="H26" s="424"/>
      <c r="I26" s="424"/>
      <c r="J26" s="424"/>
      <c r="K26" s="424"/>
      <c r="L26" s="424"/>
      <c r="M26" s="424"/>
    </row>
    <row r="27" spans="2:13">
      <c r="G27" s="424"/>
      <c r="H27" s="424"/>
      <c r="I27" s="424"/>
      <c r="J27" s="424"/>
      <c r="K27" s="424"/>
      <c r="L27" s="424"/>
      <c r="M27" s="424"/>
    </row>
    <row r="28" spans="2:13">
      <c r="G28" s="424"/>
      <c r="H28" s="424"/>
      <c r="I28" s="424"/>
      <c r="J28" s="424"/>
      <c r="K28" s="424"/>
      <c r="L28" s="424"/>
      <c r="M28" s="424"/>
    </row>
    <row r="29" spans="2:13">
      <c r="G29" s="424"/>
      <c r="H29" s="424"/>
      <c r="I29" s="424"/>
      <c r="J29" s="424"/>
      <c r="K29" s="424"/>
      <c r="L29" s="424"/>
      <c r="M29" s="424"/>
    </row>
    <row r="30" spans="2:13">
      <c r="G30" s="424"/>
      <c r="H30" s="424"/>
      <c r="I30" s="424"/>
      <c r="J30" s="424"/>
      <c r="K30" s="424"/>
      <c r="L30" s="424"/>
      <c r="M30" s="424"/>
    </row>
    <row r="31" spans="2:13">
      <c r="G31" s="424"/>
      <c r="H31" s="424"/>
      <c r="I31" s="424"/>
      <c r="J31" s="424"/>
      <c r="K31" s="424"/>
      <c r="L31" s="424"/>
      <c r="M31" s="424"/>
    </row>
    <row r="32" spans="2:13">
      <c r="G32" s="424"/>
      <c r="H32" s="424"/>
      <c r="I32" s="424"/>
      <c r="J32" s="424"/>
      <c r="K32" s="424"/>
      <c r="L32" s="424"/>
      <c r="M32" s="424"/>
    </row>
    <row r="33" spans="7:13">
      <c r="G33" s="424"/>
      <c r="H33" s="424"/>
      <c r="I33" s="424"/>
      <c r="J33" s="424"/>
      <c r="K33" s="424"/>
      <c r="L33" s="424"/>
      <c r="M33" s="424"/>
    </row>
  </sheetData>
  <mergeCells count="1">
    <mergeCell ref="B9:D9"/>
  </mergeCells>
  <hyperlinks>
    <hyperlink ref="A1" location="'TABLE OF CONTENTS'!A1" display="INDEX" xr:uid="{FD9B4FA2-8238-4B66-8FBF-21C2016C770F}"/>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2">
    <tabColor theme="5"/>
    <outlinePr summaryBelow="0" summaryRight="0"/>
  </sheetPr>
  <dimension ref="A1:O60"/>
  <sheetViews>
    <sheetView workbookViewId="0">
      <selection activeCell="B6" sqref="B6"/>
    </sheetView>
  </sheetViews>
  <sheetFormatPr defaultColWidth="12.5703125" defaultRowHeight="15.75" customHeight="1"/>
  <cols>
    <col min="2" max="2" width="11.140625" customWidth="1"/>
    <col min="3" max="3" width="17.7109375" customWidth="1"/>
    <col min="4" max="4" width="27.5703125" customWidth="1"/>
    <col min="5" max="5" width="19.7109375" style="145" customWidth="1"/>
    <col min="6" max="6" width="12.5703125" style="22"/>
    <col min="8" max="8" width="20.28515625" customWidth="1"/>
    <col min="9" max="9" width="24.140625" customWidth="1"/>
    <col min="10" max="10" width="8" customWidth="1"/>
  </cols>
  <sheetData>
    <row r="1" spans="1:15" ht="15.75" customHeight="1">
      <c r="A1" s="59" t="s">
        <v>1650</v>
      </c>
      <c r="C1" s="3" t="s">
        <v>116</v>
      </c>
      <c r="E1" s="140"/>
    </row>
    <row r="2" spans="1:15">
      <c r="B2" s="1297" t="str">
        <f>COA!$B$2</f>
        <v>ANONYMOUS COMPANY</v>
      </c>
      <c r="C2" s="1297"/>
      <c r="D2" s="1297"/>
      <c r="E2" s="1297"/>
      <c r="F2" s="1297"/>
      <c r="G2" s="714" t="s">
        <v>1387</v>
      </c>
      <c r="H2" s="59"/>
      <c r="I2" s="1"/>
    </row>
    <row r="3" spans="1:15" ht="15.75" customHeight="1">
      <c r="B3" s="1294" t="s">
        <v>116</v>
      </c>
      <c r="C3" s="1294"/>
      <c r="D3" s="1294"/>
      <c r="E3" s="1294"/>
      <c r="F3" s="1294"/>
      <c r="H3" s="64"/>
    </row>
    <row r="4" spans="1:15" ht="15.75" customHeight="1">
      <c r="B4" s="1298" t="s">
        <v>80</v>
      </c>
      <c r="C4" s="1298"/>
      <c r="D4" s="1298"/>
      <c r="E4" s="1298"/>
      <c r="F4" s="1298"/>
      <c r="H4" s="328"/>
    </row>
    <row r="5" spans="1:15" ht="15.75" customHeight="1">
      <c r="B5" s="1298" t="str">
        <f>"AS AT "&amp;UPPER(TEXT(COA!B4,"MMMM DD, YYYY"))</f>
        <v>AS AT DECEMBER 31, 2025</v>
      </c>
      <c r="C5" s="1298"/>
      <c r="D5" s="1298"/>
      <c r="E5" s="1298"/>
      <c r="F5" s="1298"/>
      <c r="I5" s="1"/>
      <c r="J5" s="2"/>
      <c r="O5" s="9" t="s">
        <v>0</v>
      </c>
    </row>
    <row r="6" spans="1:15" ht="15.75" customHeight="1">
      <c r="B6" s="4"/>
      <c r="C6" s="4"/>
      <c r="D6" s="4"/>
      <c r="E6" s="4"/>
      <c r="F6" s="4"/>
      <c r="H6" s="64"/>
      <c r="I6" s="1"/>
      <c r="J6" s="2"/>
      <c r="O6" s="9"/>
    </row>
    <row r="7" spans="1:15" ht="38.25" customHeight="1" thickBot="1">
      <c r="B7" s="1299" t="s">
        <v>316</v>
      </c>
      <c r="C7" s="1300"/>
      <c r="D7" s="1300"/>
      <c r="E7" s="1300"/>
      <c r="F7" s="1300"/>
      <c r="H7" s="64"/>
      <c r="I7" s="1"/>
      <c r="J7" s="2"/>
      <c r="O7" s="9"/>
    </row>
    <row r="8" spans="1:15" ht="15.75" customHeight="1">
      <c r="B8" s="4"/>
      <c r="C8" s="4"/>
      <c r="D8" s="4"/>
      <c r="E8" s="4"/>
      <c r="F8" s="4"/>
      <c r="H8" s="64"/>
      <c r="I8" s="1"/>
      <c r="J8" s="2"/>
      <c r="O8" s="9"/>
    </row>
    <row r="9" spans="1:15" ht="15.75" customHeight="1">
      <c r="B9" s="4"/>
      <c r="C9" s="4"/>
      <c r="D9" s="4"/>
      <c r="E9" s="4"/>
      <c r="F9" s="4"/>
      <c r="H9" s="64"/>
      <c r="I9" s="1"/>
      <c r="J9" s="2"/>
      <c r="O9" s="9"/>
    </row>
    <row r="10" spans="1:15" ht="15.75" customHeight="1">
      <c r="B10" s="4"/>
      <c r="C10" s="4"/>
      <c r="D10" s="4"/>
      <c r="E10" s="4"/>
      <c r="F10" s="4"/>
      <c r="H10" s="64"/>
      <c r="I10" s="1"/>
      <c r="J10" s="2"/>
      <c r="O10" s="9"/>
    </row>
    <row r="11" spans="1:15" ht="15.75" customHeight="1">
      <c r="B11" s="4"/>
      <c r="C11" s="4"/>
      <c r="D11" s="4"/>
      <c r="E11" s="4"/>
      <c r="F11" s="4"/>
      <c r="H11" s="64"/>
      <c r="I11" s="1"/>
      <c r="J11" s="2"/>
      <c r="O11" s="9"/>
    </row>
    <row r="12" spans="1:15" ht="15.75" customHeight="1">
      <c r="E12" s="140"/>
      <c r="I12" s="47"/>
      <c r="J12" s="2"/>
    </row>
    <row r="13" spans="1:15" ht="15.75" customHeight="1">
      <c r="B13" s="66" t="s">
        <v>0</v>
      </c>
      <c r="C13" s="66" t="s">
        <v>40</v>
      </c>
      <c r="D13" s="66" t="s">
        <v>31</v>
      </c>
      <c r="E13" s="144" t="s">
        <v>45</v>
      </c>
      <c r="F13" s="71" t="s">
        <v>98</v>
      </c>
      <c r="G13" s="66" t="s">
        <v>44</v>
      </c>
      <c r="I13" s="1" t="s">
        <v>0</v>
      </c>
      <c r="J13" s="1"/>
      <c r="K13" s="2"/>
    </row>
    <row r="14" spans="1:15" ht="15.75" customHeight="1">
      <c r="B14" s="1" t="s">
        <v>117</v>
      </c>
      <c r="F14" s="106">
        <v>42308.04</v>
      </c>
      <c r="H14" s="3" t="s">
        <v>0</v>
      </c>
      <c r="I14" s="1"/>
      <c r="J14" s="1"/>
      <c r="K14" s="2"/>
    </row>
    <row r="15" spans="1:15" ht="15.75" customHeight="1">
      <c r="B15" s="1" t="s">
        <v>118</v>
      </c>
      <c r="F15" s="127">
        <f>F41</f>
        <v>10000</v>
      </c>
      <c r="H15" s="3" t="s">
        <v>0</v>
      </c>
      <c r="I15" s="1"/>
      <c r="J15" s="1"/>
      <c r="K15" s="128"/>
    </row>
    <row r="16" spans="1:15" ht="15.75" customHeight="1">
      <c r="F16" s="23"/>
      <c r="K16" s="2"/>
    </row>
    <row r="17" spans="1:15" ht="15.75" customHeight="1">
      <c r="B17" s="3" t="s">
        <v>48</v>
      </c>
      <c r="F17" s="23">
        <f>F16+F15+F14</f>
        <v>52308.04</v>
      </c>
      <c r="K17" s="2"/>
    </row>
    <row r="18" spans="1:15" ht="15.75" customHeight="1">
      <c r="F18" s="23"/>
      <c r="K18" s="2"/>
    </row>
    <row r="19" spans="1:15" ht="15.75" customHeight="1">
      <c r="F19" s="23"/>
      <c r="K19" s="2"/>
    </row>
    <row r="20" spans="1:15" ht="15">
      <c r="B20" s="1" t="s">
        <v>119</v>
      </c>
      <c r="F20" s="127">
        <f>F59</f>
        <v>0</v>
      </c>
      <c r="I20" s="1"/>
      <c r="J20" s="1"/>
      <c r="K20" s="128"/>
      <c r="L20" s="10" t="s">
        <v>0</v>
      </c>
    </row>
    <row r="21" spans="1:15" ht="15">
      <c r="F21" s="23"/>
      <c r="K21" s="2"/>
      <c r="L21" s="10"/>
    </row>
    <row r="22" spans="1:15" thickBot="1">
      <c r="B22" s="1" t="s">
        <v>120</v>
      </c>
      <c r="F22" s="107">
        <f>SUM(F17:F20)</f>
        <v>52308.04</v>
      </c>
      <c r="G22" s="400" t="s">
        <v>355</v>
      </c>
      <c r="I22" s="11"/>
      <c r="J22" s="11"/>
      <c r="K22" s="10"/>
      <c r="L22" s="10"/>
    </row>
    <row r="23" spans="1:15" thickTop="1">
      <c r="F23" s="23"/>
      <c r="I23" s="12"/>
      <c r="J23" s="12"/>
      <c r="K23" s="10"/>
      <c r="L23" s="10"/>
      <c r="M23" s="13"/>
      <c r="N23" s="14" t="s">
        <v>0</v>
      </c>
      <c r="O23" s="15" t="s">
        <v>0</v>
      </c>
    </row>
    <row r="24" spans="1:15" ht="15">
      <c r="F24" s="23"/>
      <c r="I24" s="12"/>
      <c r="J24" s="12"/>
      <c r="L24" s="16" t="s">
        <v>0</v>
      </c>
    </row>
    <row r="25" spans="1:15">
      <c r="A25" s="115" t="s">
        <v>358</v>
      </c>
      <c r="B25" s="1" t="s">
        <v>120</v>
      </c>
      <c r="F25" s="104" t="s">
        <v>0</v>
      </c>
      <c r="H25" s="103"/>
    </row>
    <row r="26" spans="1:15" ht="15.75" customHeight="1">
      <c r="A26" s="416">
        <f>IFERROR(MATCH(B26,M_COA[ACCOUNT],0),"")</f>
        <v>3</v>
      </c>
      <c r="B26" s="1" t="s">
        <v>80</v>
      </c>
      <c r="F26" s="398" cm="1">
        <f t="array" ref="F26">IFERROR(INDEX(M_COA[CY],A26),0)</f>
        <v>52308.04</v>
      </c>
      <c r="I26" s="399"/>
    </row>
    <row r="27" spans="1:15" ht="15.75" customHeight="1">
      <c r="F27" s="23">
        <v>0</v>
      </c>
      <c r="I27" s="399"/>
    </row>
    <row r="28" spans="1:15" ht="15.75" customHeight="1">
      <c r="F28" s="23">
        <v>0</v>
      </c>
      <c r="I28" s="399"/>
    </row>
    <row r="29" spans="1:15" ht="15.75" customHeight="1">
      <c r="F29" s="127">
        <v>0</v>
      </c>
    </row>
    <row r="30" spans="1:15" ht="15.75" customHeight="1">
      <c r="F30" s="23"/>
    </row>
    <row r="31" spans="1:15" ht="15.75" customHeight="1">
      <c r="B31" s="3" t="s">
        <v>121</v>
      </c>
      <c r="F31" s="107">
        <f>SUM(F25:F30)</f>
        <v>52308.04</v>
      </c>
    </row>
    <row r="32" spans="1:15" ht="15.75" customHeight="1">
      <c r="F32" s="23"/>
    </row>
    <row r="33" spans="2:9" ht="15.75" customHeight="1">
      <c r="B33" s="1" t="s">
        <v>122</v>
      </c>
      <c r="F33" s="107">
        <f>F22-F31</f>
        <v>0</v>
      </c>
      <c r="H33" s="122"/>
      <c r="I33" s="122"/>
    </row>
    <row r="34" spans="2:9" ht="15.75" customHeight="1">
      <c r="F34" s="23"/>
    </row>
    <row r="35" spans="2:9" ht="15.75" customHeight="1">
      <c r="E35" s="140"/>
      <c r="G35" s="1" t="s">
        <v>0</v>
      </c>
    </row>
    <row r="36" spans="2:9" ht="15.75" customHeight="1">
      <c r="B36" s="1294" t="s">
        <v>123</v>
      </c>
      <c r="C36" s="1295"/>
      <c r="D36" s="1295"/>
      <c r="E36" s="1296"/>
      <c r="G36" s="1"/>
    </row>
    <row r="37" spans="2:9" ht="15.75" customHeight="1" thickBot="1">
      <c r="B37" s="3" t="s">
        <v>124</v>
      </c>
      <c r="C37" s="3" t="s">
        <v>8</v>
      </c>
      <c r="D37" s="3" t="s">
        <v>125</v>
      </c>
      <c r="E37" s="140" t="s">
        <v>7</v>
      </c>
      <c r="F37" s="52" t="s">
        <v>13</v>
      </c>
      <c r="G37" s="1"/>
    </row>
    <row r="38" spans="2:9" ht="15.75" customHeight="1" thickBot="1">
      <c r="B38">
        <v>1</v>
      </c>
      <c r="C38" s="102" cm="1">
        <f t="array" ref="C38">IFERROR(_xlfn.XLOOKUP(B38,CR!J6:J18,CR!D6:$D18,0),0)</f>
        <v>250501</v>
      </c>
      <c r="D38" t="str" cm="1">
        <f t="array" ref="D38">IFERROR(_xlfn.XLOOKUP(B38,CR!$J$6:'CR'!J18,CR!$F$6:F18,0)," ")</f>
        <v>BIG BAD WOLF INC</v>
      </c>
      <c r="E38" s="140" cm="1">
        <f t="array" ref="E38">IF(F38=0," ",(_xlfn.XLOOKUP(B38,CR!$J$6:J18,CR!$C$6:C18,0)))</f>
        <v>45782</v>
      </c>
      <c r="F38" s="56" cm="1">
        <f t="array" ref="F38">IFERROR(_xlfn.XLOOKUP(B38,CR!J6:J18,CR!$G$6:G18,0),0)</f>
        <v>10000</v>
      </c>
      <c r="G38" s="1"/>
    </row>
    <row r="39" spans="2:9" ht="15.75" customHeight="1" thickBot="1">
      <c r="B39">
        <f>B38+1</f>
        <v>2</v>
      </c>
      <c r="C39" s="102" cm="1">
        <f t="array" ref="C39">IFERROR(_xlfn.XLOOKUP(B39,CR!#REF!,CR!D$6:$D25,0),0)</f>
        <v>0</v>
      </c>
      <c r="D39" t="str" cm="1">
        <f t="array" ref="D39">IFERROR(_xlfn.XLOOKUP(B39,CR!#REF!,CR!$F$6:F25,0)," ")</f>
        <v xml:space="preserve"> </v>
      </c>
      <c r="E39" s="140" t="str" cm="1">
        <f t="array" ref="E39">IF(F39=0," ",(_xlfn.XLOOKUP(B39,CR!#REF!,CR!$C$6:C25,0)))</f>
        <v xml:space="preserve"> </v>
      </c>
      <c r="F39" s="56" cm="1">
        <f t="array" ref="F39">IFERROR(_xlfn.XLOOKUP(B39,CR!#REF!,CR!$G$6:G25,0),0)</f>
        <v>0</v>
      </c>
      <c r="G39" s="1"/>
    </row>
    <row r="40" spans="2:9" ht="15.75" customHeight="1" thickBot="1">
      <c r="B40">
        <f>B39+1</f>
        <v>3</v>
      </c>
      <c r="C40" s="102" cm="1">
        <f t="array" ref="C40">IFERROR(_xlfn.XLOOKUP(B40,CR!#REF!,CR!D$6:$D20,0),0)</f>
        <v>0</v>
      </c>
      <c r="D40" t="str" cm="1">
        <f t="array" ref="D40">IFERROR(_xlfn.XLOOKUP(B40,CR!#REF!,CR!$F$6:F20,0)," ")</f>
        <v xml:space="preserve"> </v>
      </c>
      <c r="E40" s="140" t="str" cm="1">
        <f t="array" ref="E40">IF(F40=0," ",(_xlfn.XLOOKUP(B40,CR!#REF!,CR!$C$6:C20,0)))</f>
        <v xml:space="preserve"> </v>
      </c>
      <c r="F40" s="56" cm="1">
        <f t="array" ref="F40">IFERROR(_xlfn.XLOOKUP(B40,CR!#REF!,CR!$G$6:G20,0),0)</f>
        <v>0</v>
      </c>
      <c r="G40" s="1"/>
    </row>
    <row r="41" spans="2:9" ht="15.75" customHeight="1" thickBot="1">
      <c r="C41" s="48" cm="1">
        <f t="array" ref="C41">IFERROR(_xlfn.XLOOKUP(B41,CR!#REF!,CR!D$6:$D20,0),0)</f>
        <v>0</v>
      </c>
      <c r="D41" t="str" cm="1">
        <f t="array" ref="D41">IFERROR(_xlfn.XLOOKUP(B41,CR!#REF!,CR!$F$6:F20,0)," ")</f>
        <v xml:space="preserve"> </v>
      </c>
      <c r="E41" s="140" t="s">
        <v>0</v>
      </c>
      <c r="F41" s="113">
        <f>SUBTOTAL(109,F38:F40)</f>
        <v>10000</v>
      </c>
    </row>
    <row r="42" spans="2:9" ht="15.75" customHeight="1" thickTop="1">
      <c r="E42" s="149"/>
      <c r="F42" s="108"/>
      <c r="G42" s="53"/>
    </row>
    <row r="43" spans="2:9" ht="15.75" customHeight="1">
      <c r="B43" s="1294" t="s">
        <v>126</v>
      </c>
      <c r="C43" s="1295"/>
      <c r="D43" s="1295"/>
      <c r="E43" s="1296"/>
      <c r="F43" s="109"/>
      <c r="G43" s="53"/>
    </row>
    <row r="44" spans="2:9" ht="15.75" customHeight="1" thickBot="1">
      <c r="B44" s="86" t="s">
        <v>0</v>
      </c>
      <c r="C44" s="129" t="s">
        <v>127</v>
      </c>
      <c r="D44" s="129" t="s">
        <v>128</v>
      </c>
      <c r="E44" s="150" t="s">
        <v>7</v>
      </c>
      <c r="F44" s="110" t="s">
        <v>13</v>
      </c>
      <c r="G44" s="54"/>
    </row>
    <row r="45" spans="2:9" ht="15.75" customHeight="1" thickBot="1">
      <c r="B45" s="1">
        <v>1</v>
      </c>
      <c r="C45" s="102">
        <f>IFERROR(VLOOKUP(B45,CD!#REF!,4,0),0)</f>
        <v>0</v>
      </c>
      <c r="D45" s="56">
        <f>IFERROR(VLOOKUP(B45,CD!#REF!,8,0),0)</f>
        <v>0</v>
      </c>
      <c r="E45" s="151" t="str">
        <f>IFERROR(VLOOKUP(B45,CD!#REF!,2,0)," ")</f>
        <v xml:space="preserve"> </v>
      </c>
      <c r="F45" s="56">
        <f>IFERROR(VLOOKUP(B45,CD!#REF!,11,0),0)</f>
        <v>0</v>
      </c>
      <c r="G45" s="55"/>
    </row>
    <row r="46" spans="2:9" ht="15.75" customHeight="1" thickBot="1">
      <c r="B46">
        <f t="shared" ref="B46:B58" si="0">B45+1</f>
        <v>2</v>
      </c>
      <c r="C46" s="102">
        <f>IFERROR(VLOOKUP(B46,CD!#REF!,4,0),0)</f>
        <v>0</v>
      </c>
      <c r="D46" s="56">
        <f>IFERROR(VLOOKUP(B46,CD!#REF!,8,0),0)</f>
        <v>0</v>
      </c>
      <c r="E46" s="151" t="str">
        <f>IFERROR(VLOOKUP(B46,CD!#REF!,2,0)," ")</f>
        <v xml:space="preserve"> </v>
      </c>
      <c r="F46" s="56">
        <f>IFERROR(VLOOKUP(B46,CD!#REF!,11,0),0)</f>
        <v>0</v>
      </c>
      <c r="G46" s="55"/>
    </row>
    <row r="47" spans="2:9" ht="15.75" customHeight="1" thickBot="1">
      <c r="B47">
        <f t="shared" si="0"/>
        <v>3</v>
      </c>
      <c r="C47" s="102">
        <f>IFERROR(VLOOKUP(B47,CD!#REF!,4,0),0)</f>
        <v>0</v>
      </c>
      <c r="D47" s="56">
        <f>IFERROR(VLOOKUP(B47,CD!#REF!,8,0),0)</f>
        <v>0</v>
      </c>
      <c r="E47" s="151" t="str">
        <f>IFERROR(VLOOKUP(B47,CD!#REF!,2,0)," ")</f>
        <v xml:space="preserve"> </v>
      </c>
      <c r="F47" s="864">
        <f>IFERROR(VLOOKUP(B47,CD!#REF!,11,0),0)</f>
        <v>0</v>
      </c>
      <c r="G47" s="55"/>
    </row>
    <row r="48" spans="2:9" ht="15.75" customHeight="1" thickBot="1">
      <c r="B48">
        <f t="shared" si="0"/>
        <v>4</v>
      </c>
      <c r="C48" s="102">
        <f>IFERROR(VLOOKUP(B48,CD!#REF!,4,0),0)</f>
        <v>0</v>
      </c>
      <c r="D48" s="56">
        <f>IFERROR(VLOOKUP(B48,CD!#REF!,8,0),0)</f>
        <v>0</v>
      </c>
      <c r="E48" s="151" t="str">
        <f>IFERROR(VLOOKUP(B48,CD!#REF!,2,0)," ")</f>
        <v xml:space="preserve"> </v>
      </c>
      <c r="F48" s="864">
        <f>IFERROR(VLOOKUP(B48,CD!#REF!,11,0),0)</f>
        <v>0</v>
      </c>
      <c r="G48" s="55"/>
    </row>
    <row r="49" spans="2:7" ht="15.75" customHeight="1" thickBot="1">
      <c r="B49">
        <f t="shared" si="0"/>
        <v>5</v>
      </c>
      <c r="C49" s="102">
        <f>IFERROR(VLOOKUP(B49,CD!#REF!,4,0),0)</f>
        <v>0</v>
      </c>
      <c r="D49" s="56">
        <f>IFERROR(VLOOKUP(B49,CD!#REF!,8,0),0)</f>
        <v>0</v>
      </c>
      <c r="E49" s="151" t="str">
        <f>IFERROR(VLOOKUP(B49,CD!#REF!,2,0)," ")</f>
        <v xml:space="preserve"> </v>
      </c>
      <c r="F49" s="864">
        <f>IFERROR(VLOOKUP(B49,CD!#REF!,11,0),0)</f>
        <v>0</v>
      </c>
      <c r="G49" s="55"/>
    </row>
    <row r="50" spans="2:7" ht="15.75" customHeight="1" thickBot="1">
      <c r="B50">
        <f t="shared" si="0"/>
        <v>6</v>
      </c>
      <c r="C50" s="102">
        <f>IFERROR(VLOOKUP(B50,CD!#REF!,4,0),0)</f>
        <v>0</v>
      </c>
      <c r="D50" s="56">
        <f>IFERROR(VLOOKUP(B50,CD!#REF!,8,0),0)</f>
        <v>0</v>
      </c>
      <c r="E50" s="151" t="str">
        <f>IFERROR(VLOOKUP(B50,CD!#REF!,2,0)," ")</f>
        <v xml:space="preserve"> </v>
      </c>
      <c r="F50" s="864">
        <f>IFERROR(VLOOKUP(B50,CD!#REF!,11,0),0)</f>
        <v>0</v>
      </c>
      <c r="G50" s="55"/>
    </row>
    <row r="51" spans="2:7" ht="15.75" customHeight="1" thickBot="1">
      <c r="B51">
        <f t="shared" si="0"/>
        <v>7</v>
      </c>
      <c r="C51" s="102">
        <f>IFERROR(VLOOKUP(B51,CD!#REF!,4,0),0)</f>
        <v>0</v>
      </c>
      <c r="D51" s="56">
        <f>IFERROR(VLOOKUP(B51,CD!#REF!,8,0),0)</f>
        <v>0</v>
      </c>
      <c r="E51" s="151" t="str">
        <f>IFERROR(VLOOKUP(B51,CD!#REF!,2,0)," ")</f>
        <v xml:space="preserve"> </v>
      </c>
      <c r="F51" s="864">
        <f>IFERROR(VLOOKUP(B51,CD!#REF!,11,0),0)</f>
        <v>0</v>
      </c>
      <c r="G51" s="55"/>
    </row>
    <row r="52" spans="2:7" ht="15.75" customHeight="1" thickBot="1">
      <c r="B52">
        <f t="shared" si="0"/>
        <v>8</v>
      </c>
      <c r="C52" s="102">
        <f>IFERROR(VLOOKUP(B52,CD!#REF!,4,0),0)</f>
        <v>0</v>
      </c>
      <c r="D52" s="56">
        <f>IFERROR(VLOOKUP(B52,CD!#REF!,8,0),0)</f>
        <v>0</v>
      </c>
      <c r="E52" s="151" t="str">
        <f>IFERROR(VLOOKUP(B52,CD!#REF!,2,0)," ")</f>
        <v xml:space="preserve"> </v>
      </c>
      <c r="F52" s="864">
        <f>IFERROR(VLOOKUP(B52,CD!#REF!,11,0),0)</f>
        <v>0</v>
      </c>
      <c r="G52" s="55"/>
    </row>
    <row r="53" spans="2:7" ht="13.5" thickBot="1">
      <c r="B53">
        <f t="shared" si="0"/>
        <v>9</v>
      </c>
      <c r="C53" s="102">
        <f>IFERROR(VLOOKUP(B53,CD!#REF!,4,0),0)</f>
        <v>0</v>
      </c>
      <c r="D53" s="56">
        <f>IFERROR(VLOOKUP(B53,CD!#REF!,8,0),0)</f>
        <v>0</v>
      </c>
      <c r="E53" s="151" t="str">
        <f>IFERROR(VLOOKUP(B53,CD!#REF!,2,0)," ")</f>
        <v xml:space="preserve"> </v>
      </c>
      <c r="F53" s="864">
        <f>IFERROR(VLOOKUP(B53,CD!#REF!,11,0),0)</f>
        <v>0</v>
      </c>
      <c r="G53" s="55"/>
    </row>
    <row r="54" spans="2:7" ht="13.5" thickBot="1">
      <c r="B54">
        <f t="shared" si="0"/>
        <v>10</v>
      </c>
      <c r="C54" s="102">
        <f>IFERROR(VLOOKUP(B54,CD!#REF!,4,0),0)</f>
        <v>0</v>
      </c>
      <c r="D54" s="56">
        <f>IFERROR(VLOOKUP(B54,CD!#REF!,8,0),0)</f>
        <v>0</v>
      </c>
      <c r="E54" s="151" t="str">
        <f>IFERROR(VLOOKUP(B54,CD!#REF!,2,0)," ")</f>
        <v xml:space="preserve"> </v>
      </c>
      <c r="F54" s="864">
        <f>IFERROR(VLOOKUP(B54,CD!#REF!,11,0),0)</f>
        <v>0</v>
      </c>
      <c r="G54" s="55"/>
    </row>
    <row r="55" spans="2:7" ht="13.5" thickBot="1">
      <c r="B55">
        <f t="shared" si="0"/>
        <v>11</v>
      </c>
      <c r="C55" s="102">
        <f>IFERROR(VLOOKUP(B55,CD!#REF!,4,0),0)</f>
        <v>0</v>
      </c>
      <c r="D55" s="56">
        <f>IFERROR(VLOOKUP(B55,CD!#REF!,8,0),0)</f>
        <v>0</v>
      </c>
      <c r="E55" s="151" t="str">
        <f>IFERROR(VLOOKUP(B55,CD!#REF!,2,0)," ")</f>
        <v xml:space="preserve"> </v>
      </c>
      <c r="F55" s="864">
        <f>IFERROR(VLOOKUP(B55,CD!#REF!,11,0),0)</f>
        <v>0</v>
      </c>
      <c r="G55" s="55"/>
    </row>
    <row r="56" spans="2:7" ht="13.5" thickBot="1">
      <c r="B56">
        <f t="shared" si="0"/>
        <v>12</v>
      </c>
      <c r="C56" s="102">
        <f>IFERROR(VLOOKUP(B56,CD!#REF!,4,0),0)</f>
        <v>0</v>
      </c>
      <c r="D56" s="56">
        <f>IFERROR(VLOOKUP(B56,CD!#REF!,8,0),0)</f>
        <v>0</v>
      </c>
      <c r="E56" s="151" t="str">
        <f>IFERROR(VLOOKUP(B56,CD!#REF!,2,0)," ")</f>
        <v xml:space="preserve"> </v>
      </c>
      <c r="F56" s="864">
        <f>IFERROR(VLOOKUP(B56,CD!#REF!,11,0),0)</f>
        <v>0</v>
      </c>
    </row>
    <row r="57" spans="2:7" ht="13.5" thickBot="1">
      <c r="B57">
        <f t="shared" si="0"/>
        <v>13</v>
      </c>
      <c r="C57" s="102">
        <f>IFERROR(VLOOKUP(B57,CD!#REF!,4,0),0)</f>
        <v>0</v>
      </c>
      <c r="D57" s="56">
        <f>IFERROR(VLOOKUP(B57,CD!#REF!,8,0),0)</f>
        <v>0</v>
      </c>
      <c r="E57" s="151" t="str">
        <f>IFERROR(VLOOKUP(B57,CD!#REF!,2,0)," ")</f>
        <v xml:space="preserve"> </v>
      </c>
      <c r="F57" s="864">
        <f>IFERROR(VLOOKUP(B57,CD!#REF!,11,0),0)</f>
        <v>0</v>
      </c>
    </row>
    <row r="58" spans="2:7" ht="13.5" thickBot="1">
      <c r="B58">
        <f t="shared" si="0"/>
        <v>14</v>
      </c>
      <c r="C58" s="102">
        <f>IFERROR(VLOOKUP(B58,CD!#REF!,4,0),0)</f>
        <v>0</v>
      </c>
      <c r="D58" s="56">
        <f>IFERROR(VLOOKUP(B58,CD!#REF!,8,0),0)</f>
        <v>0</v>
      </c>
      <c r="E58" s="151" t="str">
        <f>IFERROR(VLOOKUP(B58,CD!#REF!,2,0)," ")</f>
        <v xml:space="preserve"> </v>
      </c>
      <c r="F58" s="864">
        <f>IFERROR(VLOOKUP(B58,CD!#REF!,11,0),0)</f>
        <v>0</v>
      </c>
    </row>
    <row r="59" spans="2:7" ht="13.5" thickBot="1">
      <c r="B59" s="57"/>
      <c r="C59" s="48" t="s">
        <v>0</v>
      </c>
      <c r="D59" s="22" t="s">
        <v>0</v>
      </c>
      <c r="E59" s="152" t="s">
        <v>0</v>
      </c>
      <c r="F59" s="111">
        <f>SUBTOTAL(109,F45:F58)</f>
        <v>0</v>
      </c>
    </row>
    <row r="60" spans="2:7" ht="12.75">
      <c r="B60" s="85"/>
      <c r="C60" s="48" t="s">
        <v>0</v>
      </c>
      <c r="D60" s="22" t="s">
        <v>0</v>
      </c>
      <c r="E60" s="152" t="s">
        <v>0</v>
      </c>
      <c r="F60" s="109"/>
    </row>
  </sheetData>
  <mergeCells count="7">
    <mergeCell ref="B43:E43"/>
    <mergeCell ref="B36:E36"/>
    <mergeCell ref="B2:F2"/>
    <mergeCell ref="B3:F3"/>
    <mergeCell ref="B4:F4"/>
    <mergeCell ref="B5:F5"/>
    <mergeCell ref="B7:F7"/>
  </mergeCells>
  <phoneticPr fontId="11" type="noConversion"/>
  <hyperlinks>
    <hyperlink ref="A1" location="'TABLE OF CONTENTS'!A1" display="INDEX" xr:uid="{2971BBDA-350F-4F58-A061-BA7ED8E86EFC}"/>
  </hyperlinks>
  <pageMargins left="0.7" right="0.7" top="0.75" bottom="0.75" header="0.3" footer="0.3"/>
  <pageSetup orientation="portrait"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2">
        <x14:dataValidation type="list" allowBlank="1" showInputMessage="1" showErrorMessage="1" xr:uid="{90EAD3CC-1C95-41F6-A8D7-02BC5F1193CE}">
          <x14:formula1>
            <xm:f>COA!$D$9:$D$159</xm:f>
          </x14:formula1>
          <xm:sqref>B4</xm:sqref>
        </x14:dataValidation>
        <x14:dataValidation type="list" allowBlank="1" showInputMessage="1" showErrorMessage="1" xr:uid="{A1D9ADE6-B22D-4D03-9631-44F3210D1DB3}">
          <x14:formula1>
            <xm:f>COA!B9:B173</xm:f>
          </x14:formula1>
          <xm:sqref>B26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A4D5E-8B9B-435D-953A-5EA3790E41A6}">
  <sheetPr codeName="Sheet13">
    <tabColor theme="5"/>
  </sheetPr>
  <dimension ref="A1:Q68"/>
  <sheetViews>
    <sheetView workbookViewId="0"/>
  </sheetViews>
  <sheetFormatPr defaultColWidth="9.140625" defaultRowHeight="12.75"/>
  <cols>
    <col min="1" max="4" width="9.140625" style="362"/>
    <col min="5" max="5" width="2.5703125" style="362" customWidth="1"/>
    <col min="6" max="6" width="31.28515625" style="362" customWidth="1"/>
    <col min="7" max="7" width="12.5703125" style="362" customWidth="1"/>
    <col min="8" max="8" width="11.5703125" style="362" bestFit="1" customWidth="1"/>
    <col min="9" max="9" width="12" style="362" customWidth="1"/>
    <col min="10" max="10" width="10.5703125" style="362" customWidth="1"/>
    <col min="11" max="11" width="11.7109375" style="362" bestFit="1" customWidth="1"/>
    <col min="12" max="12" width="13" style="362" customWidth="1"/>
    <col min="13" max="13" width="23.85546875" style="362" customWidth="1"/>
    <col min="14" max="14" width="13.85546875" style="362" customWidth="1"/>
    <col min="15" max="15" width="9.140625" style="362"/>
    <col min="16" max="16" width="60" style="362" customWidth="1"/>
    <col min="17" max="17" width="10.42578125" style="362" customWidth="1"/>
    <col min="18" max="16384" width="9.140625" style="362"/>
  </cols>
  <sheetData>
    <row r="1" spans="1:14">
      <c r="A1" s="59" t="s">
        <v>1650</v>
      </c>
      <c r="C1" s="424" t="s">
        <v>1542</v>
      </c>
      <c r="H1" s="362" t="s">
        <v>0</v>
      </c>
    </row>
    <row r="2" spans="1:14">
      <c r="A2" s="362" t="s">
        <v>1395</v>
      </c>
      <c r="B2" s="363"/>
      <c r="C2" s="363"/>
      <c r="D2" s="363"/>
      <c r="E2" s="363"/>
      <c r="F2" s="363"/>
      <c r="G2" s="363"/>
      <c r="H2" s="363"/>
      <c r="I2" s="401" t="str">
        <f>MID(A2,1,1)</f>
        <v>B</v>
      </c>
    </row>
    <row r="3" spans="1:14">
      <c r="B3" s="363"/>
      <c r="C3" s="363"/>
      <c r="D3" s="363"/>
      <c r="E3" s="363"/>
      <c r="F3" s="363"/>
      <c r="G3" s="363"/>
      <c r="H3" s="363"/>
    </row>
    <row r="4" spans="1:14" ht="15.75">
      <c r="B4" s="363"/>
      <c r="D4" s="402"/>
      <c r="E4" s="402"/>
      <c r="F4" s="403" t="str">
        <f>UPPER(COA!B2)</f>
        <v>ANONYMOUS COMPANY</v>
      </c>
      <c r="G4" s="403"/>
      <c r="H4" s="403"/>
    </row>
    <row r="5" spans="1:14" ht="15.75">
      <c r="B5" s="363"/>
      <c r="D5" s="404"/>
      <c r="E5" s="404"/>
      <c r="F5" s="405" t="str">
        <f>UPPER(_xlfn.XLOOKUP(A2,COA!G1:G174,COA!I1:I174))</f>
        <v>MARKETABLE SECURITIES</v>
      </c>
      <c r="G5" s="405"/>
      <c r="H5" s="405"/>
      <c r="I5" s="404"/>
      <c r="J5" s="404"/>
    </row>
    <row r="6" spans="1:14">
      <c r="B6" s="363"/>
      <c r="D6" s="406"/>
      <c r="E6" s="406"/>
      <c r="F6" s="407" t="str">
        <f>"FOR THE YEAR ENDED "&amp;UPPER(TEXT(COA!$B$4,"MMMM DD, YYYY"))</f>
        <v>FOR THE YEAR ENDED DECEMBER 31, 2025</v>
      </c>
      <c r="G6" s="407"/>
      <c r="H6" s="407"/>
    </row>
    <row r="7" spans="1:14">
      <c r="B7" s="363"/>
      <c r="C7" s="363"/>
      <c r="D7" s="363"/>
      <c r="E7" s="363"/>
      <c r="F7" s="363"/>
      <c r="G7" s="363"/>
      <c r="H7" s="363"/>
    </row>
    <row r="8" spans="1:14">
      <c r="B8" s="363"/>
      <c r="C8" s="364"/>
      <c r="D8" s="364"/>
      <c r="E8" s="365"/>
      <c r="F8" s="365"/>
      <c r="G8" s="364"/>
      <c r="H8" s="364"/>
    </row>
    <row r="9" spans="1:14" ht="13.5" thickBot="1">
      <c r="B9" s="1293" t="s">
        <v>357</v>
      </c>
      <c r="C9" s="1293"/>
      <c r="D9" s="1293"/>
      <c r="E9" s="366" t="s">
        <v>0</v>
      </c>
      <c r="F9" s="570" t="s">
        <v>356</v>
      </c>
      <c r="G9" s="577"/>
      <c r="H9" s="577"/>
      <c r="I9" s="577"/>
      <c r="J9" s="577"/>
      <c r="K9" s="577"/>
      <c r="L9" s="577"/>
      <c r="M9" s="573">
        <f>YEAR(COA!B4)</f>
        <v>2025</v>
      </c>
      <c r="N9" s="573">
        <f>M9-1</f>
        <v>2024</v>
      </c>
    </row>
    <row r="10" spans="1:14" ht="13.5" thickTop="1">
      <c r="B10" s="408" t="s">
        <v>358</v>
      </c>
      <c r="C10" s="409" t="s">
        <v>359</v>
      </c>
      <c r="D10" s="409" t="s">
        <v>360</v>
      </c>
      <c r="F10" s="369"/>
      <c r="M10" s="370"/>
      <c r="N10" s="370"/>
    </row>
    <row r="11" spans="1:14">
      <c r="B11" s="410">
        <f>IFERROR(MATCH(D11,M_COA[LSheetID],0),"")</f>
        <v>6</v>
      </c>
      <c r="C11" s="371">
        <f>1</f>
        <v>1</v>
      </c>
      <c r="D11" s="371" t="str">
        <f>_xlfn.CONCAT($I$2,C11)</f>
        <v>B1</v>
      </c>
      <c r="F11" s="398" t="str" cm="1">
        <f t="array" ref="F11">IFERROR(INDEX(M_COA[ACCOUNT],B11),0)</f>
        <v>1120 Broker CDN Cash</v>
      </c>
      <c r="M11" s="398" cm="1">
        <f t="array" ref="M11">IFERROR(INDEX(M_COA[CY],B11),0)</f>
        <v>155.05000000000109</v>
      </c>
      <c r="N11" s="398" cm="1">
        <f t="array" ref="N11">IFERROR(INDEX(M_COA[PY1],B11),0)</f>
        <v>2778.58</v>
      </c>
    </row>
    <row r="12" spans="1:14">
      <c r="B12" s="410">
        <f>IFERROR(MATCH(D12,M_COA[LSheetID],0),"")</f>
        <v>7</v>
      </c>
      <c r="C12" s="371">
        <f t="shared" ref="C12:C15" si="0">C11+1</f>
        <v>2</v>
      </c>
      <c r="D12" s="371" t="str">
        <f t="shared" ref="D12:D15" si="1">_xlfn.CONCAT($I$2,C12)</f>
        <v>B2</v>
      </c>
      <c r="F12" s="398" t="str" cm="1">
        <f t="array" ref="F12">IFERROR(INDEX(M_COA[ACCOUNT],B12),0)</f>
        <v>1121 Broker US Cash</v>
      </c>
      <c r="M12" s="398" cm="1">
        <f t="array" ref="M12">IFERROR(INDEX(M_COA[CY],B12),0)</f>
        <v>-22252.449999999997</v>
      </c>
      <c r="N12" s="398" cm="1">
        <f t="array" ref="N12">IFERROR(INDEX(M_COA[PY1],B12),0)</f>
        <v>176.75</v>
      </c>
    </row>
    <row r="13" spans="1:14">
      <c r="B13" s="410">
        <f>IFERROR(MATCH(D13,M_COA[LSheetID],0),"")</f>
        <v>8</v>
      </c>
      <c r="C13" s="371">
        <f t="shared" si="0"/>
        <v>3</v>
      </c>
      <c r="D13" s="371" t="str">
        <f t="shared" si="1"/>
        <v>B3</v>
      </c>
      <c r="F13" s="398" t="str" cm="1">
        <f t="array" ref="F13">IFERROR(INDEX(M_COA[ACCOUNT],B13),0)</f>
        <v>1131 Broker CDN Securities</v>
      </c>
      <c r="M13" s="398" cm="1">
        <f t="array" ref="M13">IFERROR(INDEX(M_COA[CY],B13),0)</f>
        <v>25912.750000000022</v>
      </c>
      <c r="N13" s="398" cm="1">
        <f t="array" ref="N13">IFERROR(INDEX(M_COA[PY1],B13),0)</f>
        <v>22661.040000000001</v>
      </c>
    </row>
    <row r="14" spans="1:14">
      <c r="B14" s="410">
        <f>IFERROR(MATCH(D14,M_COA[LSheetID],0),"")</f>
        <v>9</v>
      </c>
      <c r="C14" s="371">
        <f t="shared" si="0"/>
        <v>4</v>
      </c>
      <c r="D14" s="371" t="str">
        <f t="shared" si="1"/>
        <v>B4</v>
      </c>
      <c r="F14" s="398" t="str" cm="1">
        <f t="array" ref="F14">IFERROR(INDEX(M_COA[ACCOUNT],B14),0)</f>
        <v>1132 Broker US Securities</v>
      </c>
      <c r="M14" s="398" cm="1">
        <f t="array" ref="M14">IFERROR(INDEX(M_COA[CY],B14),0)</f>
        <v>114436.93</v>
      </c>
      <c r="N14" s="398" cm="1">
        <f t="array" ref="N14">IFERROR(INDEX(M_COA[PY1],B14),0)</f>
        <v>94233.040000000008</v>
      </c>
    </row>
    <row r="15" spans="1:14">
      <c r="B15" s="410">
        <f>IFERROR(MATCH(D15,M_COA[LSheetID],0),"")</f>
        <v>10</v>
      </c>
      <c r="C15" s="371">
        <f t="shared" si="0"/>
        <v>5</v>
      </c>
      <c r="D15" s="371" t="str">
        <f t="shared" si="1"/>
        <v>B5</v>
      </c>
      <c r="F15" s="398" t="str" cm="1">
        <f t="array" ref="F15">IFERROR(INDEX(M_COA[ACCOUNT],B15),0)</f>
        <v>1139 Exchange/mark to market</v>
      </c>
      <c r="M15" s="417" cm="1">
        <f t="array" ref="M15">IFERROR(INDEX(M_COA[CY],B15),0)</f>
        <v>18415</v>
      </c>
      <c r="N15" s="417" cm="1">
        <f t="array" ref="N15">IFERROR(INDEX(M_COA[PY1],B15),0)</f>
        <v>0</v>
      </c>
    </row>
    <row r="16" spans="1:14">
      <c r="B16" s="410" t="str">
        <f>IFERROR(MATCH(D16,M_COA[LSheetID],0),"")</f>
        <v/>
      </c>
      <c r="C16" s="371"/>
      <c r="D16" s="371"/>
      <c r="F16" s="398"/>
      <c r="M16" s="398"/>
      <c r="N16" s="398"/>
    </row>
    <row r="17" spans="2:17" ht="13.5" thickBot="1">
      <c r="B17" s="363"/>
      <c r="C17" s="371"/>
      <c r="D17" s="371"/>
      <c r="E17" s="371"/>
      <c r="F17" s="372"/>
      <c r="M17" s="411">
        <f>SUM(M11:M15)</f>
        <v>136667.28000000003</v>
      </c>
      <c r="N17" s="411">
        <f>SUM(N11:N15)</f>
        <v>119849.41</v>
      </c>
    </row>
    <row r="18" spans="2:17" ht="13.5" thickTop="1">
      <c r="B18" s="363"/>
      <c r="C18" s="373"/>
      <c r="D18" s="373"/>
      <c r="E18" s="373"/>
      <c r="F18" s="373"/>
      <c r="J18" s="374"/>
      <c r="K18" s="374"/>
    </row>
    <row r="19" spans="2:17">
      <c r="J19" s="412" t="s">
        <v>0</v>
      </c>
    </row>
    <row r="20" spans="2:17">
      <c r="F20" s="233" t="s">
        <v>0</v>
      </c>
    </row>
    <row r="21" spans="2:17" ht="51" customHeight="1" thickBot="1">
      <c r="G21" s="748" t="s">
        <v>1412</v>
      </c>
      <c r="H21" s="749" t="s">
        <v>868</v>
      </c>
      <c r="I21" s="749" t="s">
        <v>11</v>
      </c>
      <c r="J21" s="749" t="s">
        <v>26</v>
      </c>
      <c r="K21" s="750" t="s">
        <v>27</v>
      </c>
      <c r="L21" s="752" t="s">
        <v>1466</v>
      </c>
      <c r="M21" s="751" t="s">
        <v>1465</v>
      </c>
      <c r="N21" s="362" t="s">
        <v>0</v>
      </c>
      <c r="P21" s="826" t="s">
        <v>1615</v>
      </c>
      <c r="Q21" s="577" t="s">
        <v>225</v>
      </c>
    </row>
    <row r="22" spans="2:17" ht="13.5" thickTop="1">
      <c r="G22" s="424"/>
      <c r="H22" s="424"/>
      <c r="I22" s="424"/>
      <c r="J22" s="424"/>
      <c r="K22" s="424" t="s">
        <v>0</v>
      </c>
      <c r="L22" s="753" t="s">
        <v>0</v>
      </c>
      <c r="M22" s="424" t="s">
        <v>0</v>
      </c>
      <c r="P22" s="362" t="s">
        <v>0</v>
      </c>
    </row>
    <row r="23" spans="2:17">
      <c r="G23" s="1212" t="s">
        <v>1411</v>
      </c>
      <c r="H23" s="424"/>
      <c r="I23" s="424"/>
      <c r="J23" s="424"/>
      <c r="K23" s="424" t="s">
        <v>0</v>
      </c>
      <c r="L23" s="1213" t="s">
        <v>0</v>
      </c>
      <c r="M23" s="424" t="s">
        <v>0</v>
      </c>
      <c r="P23" s="362" t="s">
        <v>0</v>
      </c>
    </row>
    <row r="24" spans="2:17">
      <c r="G24" s="1214">
        <v>1</v>
      </c>
      <c r="H24" s="155" t="str">
        <f>_xlfn.LET(_xlpm.RESULT,_xlfn.XLOOKUP(G24,BK_CDN!$N$10:$N$84,BK_CDN!$M$10:$M$84,0),IF(_xlpm.RESULT=0,"",_xlpm.RESULT))</f>
        <v>XFN</v>
      </c>
      <c r="I24" s="1215">
        <f ca="1">_xlfn.LET(_xlpm.RESULT,_xlfn.XLOOKUP(G24,BK_CDN!$N$10:$N$84,BK_CDN!$AL$10:$AL$84,0),IF(_xlpm.RESULT=0,"",_xlpm.RESULT))</f>
        <v>100</v>
      </c>
      <c r="J24" s="176">
        <f ca="1">_xlfn.LET(_xlpm.RESULT,(_xlfn.XLOOKUP(G24,BK_CDN!$N$10:$N$84,BK_CDN!$AM$10:$AM$84,0)),IF(_xlpm.RESULT=0,"",_xlpm.RESULT))</f>
        <v>5060.25</v>
      </c>
      <c r="K24" s="424">
        <v>76.510000000000005</v>
      </c>
      <c r="L24" s="1216">
        <f ca="1">IFERROR(Table24[[#This Row],[MKT 
VALUE]]-Table24[[#This Row],[ACB]],"")</f>
        <v>2590.7500000000009</v>
      </c>
      <c r="M24" s="734">
        <f ca="1">IFERROR(Table24[[#This Row],[MKT]]*Table24[[#This Row],[QTY]],"")</f>
        <v>7651.0000000000009</v>
      </c>
      <c r="N24" s="1222" t="str" cm="1">
        <f t="array" ref="N24">IFERROR(_FV(#REF!,"Price"),"")</f>
        <v/>
      </c>
      <c r="P24" s="362" t="e" vm="1">
        <v>#VALUE!</v>
      </c>
      <c r="Q24" s="1223" cm="1">
        <f t="array" aca="1" ref="Q24" ca="1">_FV(P24,"Price")</f>
        <v>71.92</v>
      </c>
    </row>
    <row r="25" spans="2:17">
      <c r="G25" s="1214">
        <f>G24+1</f>
        <v>2</v>
      </c>
      <c r="H25" s="155" t="str">
        <f>_xlfn.LET(_xlpm.RESULT,_xlfn.XLOOKUP(G25,BK_CDN!$N$10:$N$84,BK_CDN!$M$10:$M$84,0),IF(_xlpm.RESULT=0,"",_xlpm.RESULT))</f>
        <v>GWO</v>
      </c>
      <c r="I25" s="1215">
        <f ca="1">_xlfn.LET(_xlpm.RESULT,_xlfn.XLOOKUP(G25,BK_CDN!$N$10:$N$84,BK_CDN!$AL$10:$AL$84,0),IF(_xlpm.RESULT=0,"",_xlpm.RESULT))</f>
        <v>202</v>
      </c>
      <c r="J25" s="176">
        <f ca="1">_xlfn.LET(_xlpm.RESULT,(_xlfn.XLOOKUP(G25,BK_CDN!$N$10:$N$84,BK_CDN!$AM$10:$AM$84,0)),IF(_xlpm.RESULT=0,"",_xlpm.RESULT))</f>
        <v>10527.73</v>
      </c>
      <c r="K25" s="424">
        <v>69.03</v>
      </c>
      <c r="L25" s="1216">
        <f ca="1">IFERROR(Table24[[#This Row],[MKT 
VALUE]]-Table24[[#This Row],[ACB]],"")</f>
        <v>3416.33</v>
      </c>
      <c r="M25" s="734">
        <f ca="1">IFERROR(Table24[[#This Row],[MKT]]*Table24[[#This Row],[QTY]],"")</f>
        <v>13944.06</v>
      </c>
      <c r="N25" s="1222" t="str" cm="1">
        <f t="array" ref="N25">IFERROR(_FV(#REF!,"Price"),"")</f>
        <v/>
      </c>
      <c r="P25" s="362" t="e" vm="2">
        <v>#VALUE!</v>
      </c>
      <c r="Q25" s="1223" cm="1">
        <f t="array" aca="1" ref="Q25" ca="1">_FV(P25,"Price")</f>
        <v>59.31</v>
      </c>
    </row>
    <row r="26" spans="2:17">
      <c r="G26" s="1214">
        <f t="shared" ref="G26:G31" si="2">G25+1</f>
        <v>3</v>
      </c>
      <c r="H26" s="155" t="str">
        <f>_xlfn.LET(_xlpm.RESULT,_xlfn.XLOOKUP(G26,BK_CDN!$N$10:$N$84,BK_CDN!$M$10:$M$84,0),IF(_xlpm.RESULT=0,"",_xlpm.RESULT))</f>
        <v>FCR.UN</v>
      </c>
      <c r="I26" s="1215">
        <f ca="1">_xlfn.LET(_xlpm.RESULT,_xlfn.XLOOKUP(G26,BK_CDN!$N$10:$N$84,BK_CDN!$AL$10:$AL$84,0),IF(_xlpm.RESULT=0,"",_xlpm.RESULT))</f>
        <v>402</v>
      </c>
      <c r="J26" s="176">
        <f ca="1">_xlfn.LET(_xlpm.RESULT,(_xlfn.XLOOKUP(G26,BK_CDN!$N$10:$N$84,BK_CDN!$AM$10:$AM$84,0)),IF(_xlpm.RESULT=0,"",_xlpm.RESULT))</f>
        <v>7054.18</v>
      </c>
      <c r="K26" s="424">
        <v>19.399999999999999</v>
      </c>
      <c r="L26" s="1216">
        <f ca="1">IFERROR(Table24[[#This Row],[MKT 
VALUE]]-Table24[[#This Row],[ACB]],"")</f>
        <v>744.61999999999898</v>
      </c>
      <c r="M26" s="734">
        <f ca="1">IFERROR(Table24[[#This Row],[MKT]]*Table24[[#This Row],[QTY]],"")</f>
        <v>7798.7999999999993</v>
      </c>
      <c r="N26" s="1222" t="str" cm="1">
        <f t="array" ref="N26">IFERROR(_FV(#REF!,"Price"),"")</f>
        <v/>
      </c>
      <c r="P26" s="362" t="e" vm="3">
        <v>#VALUE!</v>
      </c>
      <c r="Q26" s="1223" cm="1">
        <f t="array" aca="1" ref="Q26" ca="1">_FV(P26,"Price")</f>
        <v>18.63</v>
      </c>
    </row>
    <row r="27" spans="2:17">
      <c r="G27" s="1214">
        <f t="shared" si="2"/>
        <v>4</v>
      </c>
      <c r="H27" s="155" t="str">
        <f>_xlfn.LET(_xlpm.RESULT,_xlfn.XLOOKUP(G27,BK_CDN!$N$10:$N$84,BK_CDN!$M$10:$M$84,0),IF(_xlpm.RESULT=0,"",_xlpm.RESULT))</f>
        <v>KMP.UN</v>
      </c>
      <c r="I27" s="1215">
        <f ca="1">_xlfn.LET(_xlpm.RESULT,_xlfn.XLOOKUP(G27,BK_CDN!$N$10:$N$84,BK_CDN!$AL$10:$AL$84,0),IF(_xlpm.RESULT=0,"",_xlpm.RESULT))</f>
        <v>170</v>
      </c>
      <c r="J27" s="176">
        <f ca="1">_xlfn.LET(_xlpm.RESULT,(_xlfn.XLOOKUP(G27,BK_CDN!$N$10:$N$84,BK_CDN!$AM$10:$AM$84,0)),IF(_xlpm.RESULT=0,"",_xlpm.RESULT))</f>
        <v>3270.59</v>
      </c>
      <c r="K27" s="424">
        <v>19.25</v>
      </c>
      <c r="L27" s="1216">
        <f ca="1">IFERROR(Table24[[#This Row],[MKT 
VALUE]]-Table24[[#This Row],[ACB]],"")</f>
        <v>1.9099999999998545</v>
      </c>
      <c r="M27" s="734">
        <f ca="1">IFERROR(Table24[[#This Row],[MKT]]*Table24[[#This Row],[QTY]],"")</f>
        <v>3272.5</v>
      </c>
      <c r="N27" s="1222" t="str" cm="1">
        <f t="array" ref="N27">IFERROR(_FV(#REF!,"Price"),"")</f>
        <v/>
      </c>
      <c r="P27" s="362" t="e" vm="4">
        <v>#VALUE!</v>
      </c>
      <c r="Q27" s="1223" cm="1">
        <f t="array" aca="1" ref="Q27" ca="1">_FV(P27,"Price")</f>
        <v>17.3</v>
      </c>
    </row>
    <row r="28" spans="2:17">
      <c r="G28" s="1214">
        <f t="shared" si="2"/>
        <v>5</v>
      </c>
      <c r="H28" s="155" t="str">
        <f>_xlfn.LET(_xlpm.RESULT,_xlfn.XLOOKUP(G28,BK_CDN!$N$10:$N$84,BK_CDN!$M$10:$M$84,0),IF(_xlpm.RESULT=0,"",_xlpm.RESULT))</f>
        <v/>
      </c>
      <c r="I28" s="1215" t="str">
        <f>_xlfn.LET(_xlpm.RESULT,_xlfn.XLOOKUP(G28,BK_CDN!$N$10:$N$84,BK_CDN!$AL$10:$AL$84,0),IF(_xlpm.RESULT=0,"",_xlpm.RESULT))</f>
        <v/>
      </c>
      <c r="J28" s="176" t="str">
        <f>_xlfn.LET(_xlpm.RESULT,(_xlfn.XLOOKUP(G28,BK_CDN!$N$10:$N$84,BK_CDN!$AM$10:$AM$84,0)),IF(_xlpm.RESULT=0,"",_xlpm.RESULT))</f>
        <v/>
      </c>
      <c r="K28" s="1217" t="str" cm="1">
        <f t="array" ref="K28">IFERROR(_FV(#REF!,"Price"),"")</f>
        <v/>
      </c>
      <c r="L28" s="1216" t="str">
        <f>IFERROR(Table24[[#This Row],[MKT 
VALUE]]-Table24[[#This Row],[ACB]],"")</f>
        <v/>
      </c>
      <c r="M28" s="734" t="str">
        <f>IFERROR(Table24[[#This Row],[MKT]]*Table24[[#This Row],[QTY]],"")</f>
        <v/>
      </c>
      <c r="N28" s="1222" t="str" cm="1">
        <f t="array" ref="N28">IFERROR(_FV(#REF!,"Price"),"")</f>
        <v/>
      </c>
      <c r="P28" s="362" t="str">
        <f>Table24[[#This Row],[SYMBOL]]</f>
        <v/>
      </c>
    </row>
    <row r="29" spans="2:17">
      <c r="G29" s="1214">
        <f t="shared" si="2"/>
        <v>6</v>
      </c>
      <c r="H29" s="155" t="str">
        <f>_xlfn.LET(_xlpm.RESULT,_xlfn.XLOOKUP(G29,BK_CDN!$N$10:$N$84,BK_CDN!$M$10:$M$84,0),IF(_xlpm.RESULT=0,"",_xlpm.RESULT))</f>
        <v/>
      </c>
      <c r="I29" s="1215" t="str">
        <f>_xlfn.LET(_xlpm.RESULT,_xlfn.XLOOKUP(G29,BK_CDN!$N$10:$N$84,BK_CDN!$AL$10:$AL$84,0),IF(_xlpm.RESULT=0,"",_xlpm.RESULT))</f>
        <v/>
      </c>
      <c r="J29" s="176" t="str">
        <f>_xlfn.LET(_xlpm.RESULT,(_xlfn.XLOOKUP(G29,BK_CDN!$N$10:$N$84,BK_CDN!$AM$10:$AM$84,0)),IF(_xlpm.RESULT=0,"",_xlpm.RESULT))</f>
        <v/>
      </c>
      <c r="K29" s="1217" t="str" cm="1">
        <f t="array" ref="K29">IFERROR(_FV(#REF!,"Price"),"")</f>
        <v/>
      </c>
      <c r="L29" s="1216" t="str">
        <f>IFERROR(Table24[[#This Row],[MKT 
VALUE]]-Table24[[#This Row],[ACB]],"")</f>
        <v/>
      </c>
      <c r="M29" s="734" t="str">
        <f>IFERROR(Table24[[#This Row],[MKT]]*Table24[[#This Row],[QTY]],"")</f>
        <v/>
      </c>
      <c r="N29" s="1222" t="str" cm="1">
        <f t="array" ref="N29">IFERROR(_FV(#REF!,"Price"),"")</f>
        <v/>
      </c>
      <c r="P29" s="362" t="str">
        <f>Table24[[#This Row],[SYMBOL]]</f>
        <v/>
      </c>
    </row>
    <row r="30" spans="2:17">
      <c r="G30" s="1214">
        <f t="shared" si="2"/>
        <v>7</v>
      </c>
      <c r="H30" s="155" t="str">
        <f>_xlfn.LET(_xlpm.RESULT,_xlfn.XLOOKUP(G30,BK_CDN!$N$10:$N$84,BK_CDN!$M$10:$M$84,0),IF(_xlpm.RESULT=0,"",_xlpm.RESULT))</f>
        <v/>
      </c>
      <c r="I30" s="1215" t="str">
        <f>_xlfn.LET(_xlpm.RESULT,_xlfn.XLOOKUP(G30,BK_CDN!$N$10:$N$84,BK_CDN!$AL$10:$AL$84,0),IF(_xlpm.RESULT=0,"",_xlpm.RESULT))</f>
        <v/>
      </c>
      <c r="J30" s="176" t="str">
        <f>_xlfn.LET(_xlpm.RESULT,(_xlfn.XLOOKUP(G30,BK_CDN!$N$10:$N$84,BK_CDN!$AM$10:$AM$84,0)),IF(_xlpm.RESULT=0,"",_xlpm.RESULT))</f>
        <v/>
      </c>
      <c r="K30" s="1217" t="str" cm="1">
        <f t="array" ref="K30">IFERROR(_FV(#REF!,"Price"),"")</f>
        <v/>
      </c>
      <c r="L30" s="1216" t="str">
        <f>IFERROR(Table24[[#This Row],[MKT 
VALUE]]-Table24[[#This Row],[ACB]],"")</f>
        <v/>
      </c>
      <c r="M30" s="734" t="str">
        <f>IFERROR(Table24[[#This Row],[MKT]]*Table24[[#This Row],[QTY]],"")</f>
        <v/>
      </c>
      <c r="N30" s="1222" t="str" cm="1">
        <f t="array" ref="N30">IFERROR(_FV(#REF!,"Price"),"")</f>
        <v/>
      </c>
      <c r="P30" s="362" t="str">
        <f>Table24[[#This Row],[SYMBOL]]</f>
        <v/>
      </c>
    </row>
    <row r="31" spans="2:17">
      <c r="G31" s="1214">
        <f t="shared" si="2"/>
        <v>8</v>
      </c>
      <c r="H31" s="155" t="str">
        <f>_xlfn.LET(_xlpm.RESULT,_xlfn.XLOOKUP(G31,BK_CDN!$N$10:$N$84,BK_CDN!$M$10:$M$84,0),IF(_xlpm.RESULT=0,"",_xlpm.RESULT))</f>
        <v/>
      </c>
      <c r="I31" s="1215" t="str">
        <f>_xlfn.LET(_xlpm.RESULT,_xlfn.XLOOKUP(G31,BK_CDN!$N$10:$N$84,BK_CDN!$AL$10:$AL$84,0),IF(_xlpm.RESULT=0,"",_xlpm.RESULT))</f>
        <v/>
      </c>
      <c r="J31" s="176" t="str">
        <f>_xlfn.LET(_xlpm.RESULT,(_xlfn.XLOOKUP(G31,BK_CDN!$N$10:$N$84,BK_CDN!$AM$10:$AM$84,0)),IF(_xlpm.RESULT=0,"",_xlpm.RESULT))</f>
        <v/>
      </c>
      <c r="K31" s="1217" t="str" cm="1">
        <f t="array" ref="K31">IFERROR(_FV(#REF!,"Price"),"")</f>
        <v/>
      </c>
      <c r="L31" s="1216" t="str">
        <f>IFERROR(Table24[[#This Row],[MKT 
VALUE]]-Table24[[#This Row],[ACB]],"")</f>
        <v/>
      </c>
      <c r="M31" s="734" t="str">
        <f>IFERROR(Table24[[#This Row],[MKT]]*Table24[[#This Row],[QTY]],"")</f>
        <v/>
      </c>
      <c r="N31" s="1222" t="str" cm="1">
        <f t="array" ref="N31">IFERROR(_FV(#REF!,"Price"),"")</f>
        <v/>
      </c>
      <c r="P31" s="362" t="str">
        <f>Table24[[#This Row],[SYMBOL]]</f>
        <v/>
      </c>
    </row>
    <row r="32" spans="2:17">
      <c r="G32" s="1218"/>
      <c r="H32" s="424"/>
      <c r="I32" s="424"/>
      <c r="J32" s="1210">
        <f ca="1">SUM(J24:J31)</f>
        <v>25912.75</v>
      </c>
      <c r="K32" s="424"/>
      <c r="L32" s="1219">
        <f ca="1">SUM(L24:L27)</f>
        <v>6753.61</v>
      </c>
      <c r="M32" s="1210">
        <f t="shared" ref="M32" ca="1" si="3">SUM(M24:M31)</f>
        <v>32666.36</v>
      </c>
      <c r="P32" s="362" t="s">
        <v>0</v>
      </c>
    </row>
    <row r="33" spans="7:17">
      <c r="G33" s="1218"/>
      <c r="H33" s="424"/>
      <c r="I33" s="424"/>
      <c r="J33" s="424"/>
      <c r="K33" s="424"/>
      <c r="L33" s="1220" t="s">
        <v>0</v>
      </c>
      <c r="M33" s="734" t="s">
        <v>0</v>
      </c>
      <c r="P33" s="362" t="s">
        <v>0</v>
      </c>
    </row>
    <row r="34" spans="7:17">
      <c r="G34" s="1218"/>
      <c r="H34" s="424"/>
      <c r="I34" s="424"/>
      <c r="J34" s="424"/>
      <c r="K34" s="424"/>
      <c r="L34" s="1220" t="s">
        <v>0</v>
      </c>
      <c r="M34" s="734" t="s">
        <v>0</v>
      </c>
      <c r="P34" s="362" t="s">
        <v>0</v>
      </c>
    </row>
    <row r="35" spans="7:17">
      <c r="G35" s="1212" t="s">
        <v>102</v>
      </c>
      <c r="H35" s="424"/>
      <c r="I35" s="424"/>
      <c r="J35" s="424"/>
      <c r="K35" s="569"/>
      <c r="L35" s="1220" t="s">
        <v>0</v>
      </c>
      <c r="M35" s="734" t="s">
        <v>0</v>
      </c>
      <c r="P35" s="362" t="s">
        <v>0</v>
      </c>
    </row>
    <row r="36" spans="7:17">
      <c r="G36" s="1214">
        <v>1</v>
      </c>
      <c r="H36" s="155" t="str">
        <f>_xlfn.LET(_xlpm.RESULT,_xlfn.XLOOKUP(G36,BK_US!$N$10:$N$84,BK_US!$M$10:$M$84,0),IF(_xlpm.RESULT=0,"",_xlpm.RESULT))</f>
        <v>GOOGL</v>
      </c>
      <c r="I36" s="1215">
        <f ca="1">_xlfn.LET(_xlpm.RESULT,_xlfn.XLOOKUP(G36,BK_US!$N$10:$N$84,BK_US!$AL$10:$AL$84,0),IF(_xlpm.RESULT=0,"",_xlpm.RESULT))</f>
        <v>60</v>
      </c>
      <c r="J36" s="176">
        <f ca="1">_xlfn.LET(_xlpm.RESULT,(_xlfn.XLOOKUP(G36,BK_US!$N$10:$N$84,BK_US!$AM$10:$AM$84,0)),IF(_xlpm.RESULT=0,"",_xlpm.RESULT))</f>
        <v>9839.27</v>
      </c>
      <c r="K36" s="569">
        <v>227.5274</v>
      </c>
      <c r="L36" s="1216">
        <f ca="1">IFERROR(Table24[[#This Row],[MKT 
VALUE]]-Table24[[#This Row],[ACB]],"")</f>
        <v>3812.3739999999998</v>
      </c>
      <c r="M36" s="734">
        <f ca="1">IFERROR(Table24[[#This Row],[MKT]]*Table24[[#This Row],[QTY]],"")</f>
        <v>13651.644</v>
      </c>
      <c r="N36" s="1222" t="str" cm="1">
        <f t="array" ref="N36">IFERROR(_FV(#REF!,"Price"),"")</f>
        <v/>
      </c>
      <c r="P36" s="362" t="e" vm="5">
        <v>#VALUE!</v>
      </c>
      <c r="Q36" s="1223" cm="1">
        <f t="array" aca="1" ref="Q36" ca="1">_FV(P36,"Price")</f>
        <v>285.56</v>
      </c>
    </row>
    <row r="37" spans="7:17">
      <c r="G37" s="1214">
        <f>G36+1</f>
        <v>2</v>
      </c>
      <c r="H37" s="155" t="str">
        <f>_xlfn.LET(_xlpm.RESULT,_xlfn.XLOOKUP(G37,BK_US!$N$10:$N$84,BK_US!$M$10:$M$84,0),IF(_xlpm.RESULT=0,"",_xlpm.RESULT))</f>
        <v>AMZN</v>
      </c>
      <c r="I37" s="1215">
        <f ca="1">_xlfn.LET(_xlpm.RESULT,_xlfn.XLOOKUP(G37,BK_US!$N$10:$N$84,BK_US!$AL$10:$AL$84,0),IF(_xlpm.RESULT=0,"",_xlpm.RESULT))</f>
        <v>50</v>
      </c>
      <c r="J37" s="176">
        <f ca="1">_xlfn.LET(_xlpm.RESULT,(_xlfn.XLOOKUP(G37,BK_US!$N$10:$N$84,BK_US!$AM$10:$AM$84,0)),IF(_xlpm.RESULT=0,"",_xlpm.RESULT))</f>
        <v>9922.06</v>
      </c>
      <c r="K37" s="569">
        <v>233.68289999999999</v>
      </c>
      <c r="L37" s="1216">
        <f ca="1">IFERROR(Table24[[#This Row],[MKT 
VALUE]]-Table24[[#This Row],[ACB]],"")</f>
        <v>1762.0849999999991</v>
      </c>
      <c r="M37" s="734">
        <f ca="1">IFERROR(Table24[[#This Row],[MKT]]*Table24[[#This Row],[QTY]],"")</f>
        <v>11684.144999999999</v>
      </c>
      <c r="N37" s="1222" t="str" cm="1">
        <f t="array" ref="N37">IFERROR(_FV(#REF!,"Price"),"")</f>
        <v/>
      </c>
      <c r="P37" s="362" t="e" vm="6">
        <v>#VALUE!</v>
      </c>
      <c r="Q37" s="1223" cm="1">
        <f t="array" aca="1" ref="Q37" ca="1">_FV(P37,"Price")</f>
        <v>224.6858</v>
      </c>
    </row>
    <row r="38" spans="7:17">
      <c r="G38" s="1214">
        <f t="shared" ref="G38:G43" si="4">G37+1</f>
        <v>3</v>
      </c>
      <c r="H38" s="155" t="str">
        <f>_xlfn.LET(_xlpm.RESULT,_xlfn.XLOOKUP(G38,BK_US!$N$10:$N$84,BK_US!$M$10:$M$84,0),IF(_xlpm.RESULT=0,"",_xlpm.RESULT))</f>
        <v>AVGO</v>
      </c>
      <c r="I38" s="1215">
        <f ca="1">_xlfn.LET(_xlpm.RESULT,_xlfn.XLOOKUP(G38,BK_US!$N$10:$N$84,BK_US!$AL$10:$AL$84,0),IF(_xlpm.RESULT=0,"",_xlpm.RESULT))</f>
        <v>42</v>
      </c>
      <c r="J38" s="176">
        <f ca="1">_xlfn.LET(_xlpm.RESULT,(_xlfn.XLOOKUP(G38,BK_US!$N$10:$N$84,BK_US!$AM$10:$AM$84,0)),IF(_xlpm.RESULT=0,"",_xlpm.RESULT))</f>
        <v>9984.15</v>
      </c>
      <c r="K38" s="569">
        <v>303.99</v>
      </c>
      <c r="L38" s="1216">
        <f ca="1">IFERROR(Table24[[#This Row],[MKT 
VALUE]]-Table24[[#This Row],[ACB]],"")</f>
        <v>2783.4300000000003</v>
      </c>
      <c r="M38" s="734">
        <f ca="1">IFERROR(Table24[[#This Row],[MKT]]*Table24[[#This Row],[QTY]],"")</f>
        <v>12767.58</v>
      </c>
      <c r="N38" s="1222" t="str" cm="1">
        <f t="array" ref="N38">IFERROR(_FV(#REF!,"Price"),"")</f>
        <v/>
      </c>
      <c r="P38" s="362" t="e" vm="7">
        <v>#VALUE!</v>
      </c>
      <c r="Q38" s="1223" cm="1">
        <f t="array" aca="1" ref="Q38" ca="1">_FV(P38,"Price")</f>
        <v>377</v>
      </c>
    </row>
    <row r="39" spans="7:17">
      <c r="G39" s="1214">
        <f t="shared" si="4"/>
        <v>4</v>
      </c>
      <c r="H39" s="155" t="str">
        <f>_xlfn.LET(_xlpm.RESULT,_xlfn.XLOOKUP(G39,BK_US!$N$10:$N$84,BK_US!$M$10:$M$84,0),IF(_xlpm.RESULT=0,"",_xlpm.RESULT))</f>
        <v>COST</v>
      </c>
      <c r="I39" s="1215">
        <f ca="1">_xlfn.LET(_xlpm.RESULT,_xlfn.XLOOKUP(G39,BK_US!$N$10:$N$84,BK_US!$AL$10:$AL$84,0),IF(_xlpm.RESULT=0,"",_xlpm.RESULT))</f>
        <v>10</v>
      </c>
      <c r="J39" s="176">
        <f ca="1">_xlfn.LET(_xlpm.RESULT,(_xlfn.XLOOKUP(G39,BK_US!$N$10:$N$84,BK_US!$AM$10:$AM$84,0)),IF(_xlpm.RESULT=0,"",_xlpm.RESULT))</f>
        <v>9751.39</v>
      </c>
      <c r="K39" s="569">
        <v>956.03009999999995</v>
      </c>
      <c r="L39" s="1216">
        <f ca="1">IFERROR(Table24[[#This Row],[MKT 
VALUE]]-Table24[[#This Row],[ACB]],"")</f>
        <v>-191.08899999999994</v>
      </c>
      <c r="M39" s="734">
        <f ca="1">IFERROR(Table24[[#This Row],[MKT]]*Table24[[#This Row],[QTY]],"")</f>
        <v>9560.3009999999995</v>
      </c>
      <c r="N39" s="1222" t="str" cm="1">
        <f t="array" ref="N39">IFERROR(_FV(#REF!,"Price"),"")</f>
        <v/>
      </c>
      <c r="P39" s="362" t="e" vm="8">
        <v>#VALUE!</v>
      </c>
      <c r="Q39" s="1223" cm="1">
        <f t="array" aca="1" ref="Q39" ca="1">_FV(P39,"Price")</f>
        <v>919.00149999999996</v>
      </c>
    </row>
    <row r="40" spans="7:17">
      <c r="G40" s="1214">
        <f t="shared" si="4"/>
        <v>5</v>
      </c>
      <c r="H40" s="155" t="str">
        <f>_xlfn.LET(_xlpm.RESULT,_xlfn.XLOOKUP(G40,BK_US!$N$10:$N$84,BK_US!$M$10:$M$84,0),IF(_xlpm.RESULT=0,"",_xlpm.RESULT))</f>
        <v>MSFT</v>
      </c>
      <c r="I40" s="1215">
        <f ca="1">_xlfn.LET(_xlpm.RESULT,_xlfn.XLOOKUP(G40,BK_US!$N$10:$N$84,BK_US!$AL$10:$AL$84,0),IF(_xlpm.RESULT=0,"",_xlpm.RESULT))</f>
        <v>75</v>
      </c>
      <c r="J40" s="176">
        <f ca="1">_xlfn.LET(_xlpm.RESULT,(_xlfn.XLOOKUP(G40,BK_US!$N$10:$N$84,BK_US!$AM$10:$AM$84,0)),IF(_xlpm.RESULT=0,"",_xlpm.RESULT))</f>
        <v>33326.129999999997</v>
      </c>
      <c r="K40" s="569">
        <f>34824/75</f>
        <v>464.32</v>
      </c>
      <c r="L40" s="1216">
        <f ca="1">IFERROR(Table24[[#This Row],[MKT 
VALUE]]-Table24[[#This Row],[ACB]],"")</f>
        <v>1497.8700000000026</v>
      </c>
      <c r="M40" s="734">
        <f ca="1">IFERROR(Table24[[#This Row],[MKT]]*Table24[[#This Row],[QTY]],"")</f>
        <v>34824</v>
      </c>
      <c r="N40" s="1222" t="str" cm="1">
        <f t="array" ref="N40">IFERROR(_FV(#REF!,"Price"),"")</f>
        <v/>
      </c>
      <c r="P40" s="362" t="e" vm="9">
        <v>#VALUE!</v>
      </c>
      <c r="Q40" s="1223" cm="1">
        <f t="array" aca="1" ref="Q40" ca="1">_FV(P40,"Price")</f>
        <v>526.75</v>
      </c>
    </row>
    <row r="41" spans="7:17">
      <c r="G41" s="1214">
        <f t="shared" si="4"/>
        <v>6</v>
      </c>
      <c r="H41" s="155" t="str">
        <f>_xlfn.LET(_xlpm.RESULT,_xlfn.XLOOKUP(G41,BK_US!$N$10:$N$84,BK_US!$M$10:$M$84,0),IF(_xlpm.RESULT=0,"",_xlpm.RESULT))</f>
        <v>COP</v>
      </c>
      <c r="I41" s="1215">
        <f ca="1">_xlfn.LET(_xlpm.RESULT,_xlfn.XLOOKUP(G41,BK_US!$N$10:$N$84,BK_US!$AL$10:$AL$84,0),IF(_xlpm.RESULT=0,"",_xlpm.RESULT))</f>
        <v>300</v>
      </c>
      <c r="J41" s="176">
        <f ca="1">_xlfn.LET(_xlpm.RESULT,(_xlfn.XLOOKUP(G41,BK_US!$N$10:$N$84,BK_US!$AM$10:$AM$84,0)),IF(_xlpm.RESULT=0,"",_xlpm.RESULT))</f>
        <v>31196.94</v>
      </c>
      <c r="K41" s="569">
        <v>91.64</v>
      </c>
      <c r="L41" s="1216">
        <f ca="1">IFERROR(Table24[[#This Row],[MKT 
VALUE]]-Table24[[#This Row],[ACB]],"")</f>
        <v>-3704.9399999999987</v>
      </c>
      <c r="M41" s="734">
        <f ca="1">IFERROR(Table24[[#This Row],[MKT]]*Table24[[#This Row],[QTY]],"")</f>
        <v>27492</v>
      </c>
      <c r="N41" s="1222" t="str" cm="1">
        <f t="array" ref="N41">IFERROR(_FV(#REF!,"Price"),"")</f>
        <v/>
      </c>
      <c r="P41" s="362" t="e" vm="10">
        <v>#VALUE!</v>
      </c>
      <c r="Q41" s="1223" cm="1">
        <f t="array" aca="1" ref="Q41" ca="1">_FV(P41,"Price")</f>
        <v>89.034999999999997</v>
      </c>
    </row>
    <row r="42" spans="7:17">
      <c r="G42" s="1214">
        <f t="shared" si="4"/>
        <v>7</v>
      </c>
      <c r="H42" s="155" t="str">
        <f>_xlfn.LET(_xlpm.RESULT,_xlfn.XLOOKUP(G42,BK_US!$N$10:$N$84,BK_US!$M$10:$M$84,0),IF(_xlpm.RESULT=0,"",_xlpm.RESULT))</f>
        <v>OXY</v>
      </c>
      <c r="I42" s="1215">
        <f ca="1">_xlfn.LET(_xlpm.RESULT,_xlfn.XLOOKUP(G42,BK_US!$N$10:$N$84,BK_US!$AL$10:$AL$84,0),IF(_xlpm.RESULT=0,"",_xlpm.RESULT))</f>
        <v>200</v>
      </c>
      <c r="J42" s="176">
        <f ca="1">_xlfn.LET(_xlpm.RESULT,(_xlfn.XLOOKUP(G42,BK_US!$N$10:$N$84,BK_US!$AM$10:$AM$84,0)),IF(_xlpm.RESULT=0,"",_xlpm.RESULT))</f>
        <v>10416.99</v>
      </c>
      <c r="K42" s="569">
        <f>16119/200</f>
        <v>80.594999999999999</v>
      </c>
      <c r="L42" s="1216">
        <f ca="1">IFERROR(Table24[[#This Row],[MKT 
VALUE]]-Table24[[#This Row],[ACB]],"")</f>
        <v>5702.01</v>
      </c>
      <c r="M42" s="734">
        <f ca="1">IFERROR(Table24[[#This Row],[MKT]]*Table24[[#This Row],[QTY]],"")</f>
        <v>16119</v>
      </c>
      <c r="N42" s="1222" t="str" cm="1">
        <f t="array" ref="N42">IFERROR(_FV(#REF!,"Price"),"")</f>
        <v/>
      </c>
      <c r="P42" s="362" t="e" vm="11">
        <v>#VALUE!</v>
      </c>
      <c r="Q42" s="1223" cm="1">
        <f t="array" aca="1" ref="Q42" ca="1">_FV(P42,"Price")</f>
        <v>41.125</v>
      </c>
    </row>
    <row r="43" spans="7:17">
      <c r="G43" s="1214">
        <f t="shared" si="4"/>
        <v>8</v>
      </c>
      <c r="H43" s="155" t="str">
        <f>_xlfn.LET(_xlpm.RESULT,_xlfn.XLOOKUP(G43,BK_US!$N$10:$N$84,BK_US!$M$10:$M$84,0),IF(_xlpm.RESULT=0,"",_xlpm.RESULT))</f>
        <v/>
      </c>
      <c r="I43" s="1215" t="str">
        <f>_xlfn.LET(_xlpm.RESULT,_xlfn.XLOOKUP(G43,BK_US!$N$10:$N$84,BK_US!$AL$10:$AL$84,0),IF(_xlpm.RESULT=0,"",_xlpm.RESULT))</f>
        <v/>
      </c>
      <c r="J43" s="176" t="str">
        <f>_xlfn.LET(_xlpm.RESULT,(_xlfn.XLOOKUP(G43,BK_US!$N$10:$N$84,BK_US!$AM$10:$AM$84,0)),IF(_xlpm.RESULT=0,"",_xlpm.RESULT))</f>
        <v/>
      </c>
      <c r="K43" s="1217" t="str" cm="1">
        <f t="array" ref="K43">IFERROR(_FV(#REF!,"Price"),"")</f>
        <v/>
      </c>
      <c r="L43" s="1216" t="str">
        <f>IFERROR(Table24[[#This Row],[MKT 
VALUE]]-Table24[[#This Row],[ACB]],"")</f>
        <v/>
      </c>
      <c r="M43" s="734" t="str">
        <f>IFERROR(Table24[[#This Row],[MKT]]*Table24[[#This Row],[QTY]],"")</f>
        <v/>
      </c>
      <c r="N43" s="1222" t="str" cm="1">
        <f t="array" ref="N43">IFERROR(_FV(#REF!,"Price"),"")</f>
        <v/>
      </c>
      <c r="P43" s="362" t="str">
        <f>Table24[[#This Row],[SYMBOL]]</f>
        <v/>
      </c>
    </row>
    <row r="44" spans="7:17">
      <c r="G44" s="1218"/>
      <c r="H44" s="424"/>
      <c r="I44" s="424"/>
      <c r="J44" s="1210">
        <f ca="1">SUM(J36:J43)</f>
        <v>114436.93000000001</v>
      </c>
      <c r="K44" s="734" t="s">
        <v>0</v>
      </c>
      <c r="L44" s="1219">
        <f ca="1">SUM(L36:L42)</f>
        <v>11661.740000000003</v>
      </c>
      <c r="M44" s="1210">
        <f ca="1">Table24[[#This Row],[HOLDING
GAIN
(LOSS)]]+Table24[[#This Row],[ACB]]</f>
        <v>126098.67000000001</v>
      </c>
      <c r="P44" s="362" t="s">
        <v>0</v>
      </c>
    </row>
    <row r="45" spans="7:17">
      <c r="G45" s="1218"/>
      <c r="H45" s="424"/>
      <c r="I45" s="424"/>
      <c r="J45" s="734"/>
      <c r="K45" s="734" t="s">
        <v>0</v>
      </c>
      <c r="L45" s="1220" t="s">
        <v>0</v>
      </c>
      <c r="M45" s="734" t="s">
        <v>0</v>
      </c>
      <c r="P45" s="362" t="s">
        <v>0</v>
      </c>
    </row>
    <row r="46" spans="7:17">
      <c r="H46" s="362" t="s">
        <v>1467</v>
      </c>
      <c r="K46" s="362" t="s">
        <v>0</v>
      </c>
      <c r="L46" s="1213" t="s">
        <v>0</v>
      </c>
      <c r="M46" s="734" t="s">
        <v>0</v>
      </c>
      <c r="P46" s="362" t="str">
        <f>Table24[[#This Row],[SYMBOL]]</f>
        <v xml:space="preserve">CASH </v>
      </c>
    </row>
    <row r="47" spans="7:17">
      <c r="H47" s="362" t="s">
        <v>256</v>
      </c>
      <c r="J47" s="734">
        <f>M11</f>
        <v>155.05000000000109</v>
      </c>
      <c r="K47" s="362" t="s">
        <v>0</v>
      </c>
      <c r="L47" s="1220" t="s">
        <v>0</v>
      </c>
      <c r="M47" s="734">
        <f>M11</f>
        <v>155.05000000000109</v>
      </c>
      <c r="P47" s="362" t="str">
        <f>Table24[[#This Row],[SYMBOL]]</f>
        <v>CDN</v>
      </c>
    </row>
    <row r="48" spans="7:17">
      <c r="H48" s="362" t="s">
        <v>102</v>
      </c>
      <c r="J48" s="734">
        <f>M12</f>
        <v>-22252.449999999997</v>
      </c>
      <c r="K48" s="424" t="s">
        <v>0</v>
      </c>
      <c r="L48" s="1220" t="s">
        <v>0</v>
      </c>
      <c r="M48" s="734">
        <f>M12</f>
        <v>-22252.449999999997</v>
      </c>
      <c r="P48" s="362" t="str">
        <f>Table24[[#This Row],[SYMBOL]]</f>
        <v>US</v>
      </c>
    </row>
    <row r="49" spans="10:16">
      <c r="J49" s="1210"/>
      <c r="K49" s="424" t="s">
        <v>0</v>
      </c>
      <c r="L49" s="1219" t="s">
        <v>0</v>
      </c>
      <c r="M49" s="1210">
        <f>M48+M47</f>
        <v>-22097.399999999994</v>
      </c>
      <c r="P49" s="362" t="s">
        <v>0</v>
      </c>
    </row>
    <row r="50" spans="10:16">
      <c r="K50" s="424" t="s">
        <v>0</v>
      </c>
      <c r="L50" s="1213" t="s">
        <v>0</v>
      </c>
      <c r="M50" s="424" t="s">
        <v>0</v>
      </c>
      <c r="P50" s="362" t="s">
        <v>0</v>
      </c>
    </row>
    <row r="51" spans="10:16" ht="13.5" thickBot="1">
      <c r="J51" s="1211">
        <f ca="1">J32+J44+J48</f>
        <v>118097.23</v>
      </c>
      <c r="K51" s="734" t="s">
        <v>0</v>
      </c>
      <c r="L51" s="1221">
        <v>18415</v>
      </c>
      <c r="M51" s="1211">
        <f ca="1">M49+M44+M32</f>
        <v>136667.63</v>
      </c>
      <c r="P51" s="362" t="s">
        <v>0</v>
      </c>
    </row>
    <row r="52" spans="10:16" ht="13.5" thickTop="1">
      <c r="K52" s="424" t="s">
        <v>0</v>
      </c>
      <c r="L52" s="1213" t="s">
        <v>0</v>
      </c>
      <c r="M52" s="424" t="s">
        <v>0</v>
      </c>
      <c r="P52" s="362" t="s">
        <v>0</v>
      </c>
    </row>
    <row r="53" spans="10:16">
      <c r="K53" s="424" t="s">
        <v>1</v>
      </c>
      <c r="L53" s="1213" t="s">
        <v>0</v>
      </c>
      <c r="M53" s="424"/>
      <c r="P53" s="362" t="s">
        <v>0</v>
      </c>
    </row>
    <row r="54" spans="10:16">
      <c r="K54" s="424" t="s">
        <v>0</v>
      </c>
      <c r="L54" s="1213" t="s">
        <v>0</v>
      </c>
      <c r="M54" s="424"/>
      <c r="P54" s="362" t="s">
        <v>0</v>
      </c>
    </row>
    <row r="55" spans="10:16">
      <c r="K55" s="424" t="s">
        <v>0</v>
      </c>
      <c r="L55" s="424" t="s">
        <v>0</v>
      </c>
      <c r="M55" s="424" t="s">
        <v>0</v>
      </c>
      <c r="P55" s="362" t="s">
        <v>0</v>
      </c>
    </row>
    <row r="57" spans="10:16">
      <c r="L57" s="734" t="s">
        <v>0</v>
      </c>
      <c r="M57" s="734"/>
    </row>
    <row r="58" spans="10:16">
      <c r="K58" s="569"/>
      <c r="L58" s="734" t="s">
        <v>0</v>
      </c>
      <c r="M58" s="734" t="s">
        <v>0</v>
      </c>
    </row>
    <row r="60" spans="10:16">
      <c r="M60" s="734" t="s">
        <v>0</v>
      </c>
    </row>
    <row r="63" spans="10:16">
      <c r="M63" s="424"/>
    </row>
    <row r="65" spans="12:13">
      <c r="M65" s="1203"/>
    </row>
    <row r="67" spans="12:13">
      <c r="L67" s="734"/>
      <c r="M67" s="734"/>
    </row>
    <row r="68" spans="12:13">
      <c r="L68" s="734"/>
      <c r="M68" s="734"/>
    </row>
  </sheetData>
  <mergeCells count="1">
    <mergeCell ref="B9:D9"/>
  </mergeCells>
  <hyperlinks>
    <hyperlink ref="A1" location="'TABLE OF CONTENTS'!A1" display="INDEX" xr:uid="{79D2C803-EF86-49D5-B2C5-9544E96479DA}"/>
  </hyperlinks>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4FE16-4B8C-4A4C-8F79-95C882FD8DF4}">
  <sheetPr codeName="Sheet17">
    <tabColor theme="5"/>
  </sheetPr>
  <dimension ref="A1:S65"/>
  <sheetViews>
    <sheetView workbookViewId="0">
      <selection activeCell="K36" sqref="K36"/>
    </sheetView>
  </sheetViews>
  <sheetFormatPr defaultColWidth="9.140625" defaultRowHeight="12.75"/>
  <cols>
    <col min="1" max="4" width="9.140625" style="362"/>
    <col min="5" max="5" width="2.5703125" style="362" customWidth="1"/>
    <col min="6" max="6" width="31.28515625" style="362" customWidth="1"/>
    <col min="7" max="7" width="8.7109375" style="362" customWidth="1"/>
    <col min="8" max="8" width="11.5703125" style="362" bestFit="1" customWidth="1"/>
    <col min="9" max="9" width="9.7109375" style="362" customWidth="1"/>
    <col min="10" max="10" width="9.140625" style="362"/>
    <col min="11" max="11" width="11.7109375" style="362" bestFit="1" customWidth="1"/>
    <col min="12" max="13" width="9.140625" style="362"/>
    <col min="14" max="14" width="14.85546875" style="362" customWidth="1"/>
    <col min="15" max="15" width="12.5703125" style="362" customWidth="1"/>
    <col min="16" max="16" width="12.140625" style="362" customWidth="1"/>
    <col min="17" max="16384" width="9.140625" style="362"/>
  </cols>
  <sheetData>
    <row r="1" spans="1:17">
      <c r="A1" s="59" t="s">
        <v>1650</v>
      </c>
      <c r="C1" s="424" t="s">
        <v>1541</v>
      </c>
      <c r="H1" s="362" t="s">
        <v>0</v>
      </c>
    </row>
    <row r="2" spans="1:17">
      <c r="A2" s="362" t="s">
        <v>1395</v>
      </c>
      <c r="B2" s="363"/>
      <c r="C2" s="363"/>
      <c r="D2" s="363"/>
      <c r="E2" s="363"/>
      <c r="F2" s="363"/>
      <c r="G2" s="363"/>
      <c r="H2" s="363"/>
      <c r="I2" s="401">
        <v>25</v>
      </c>
    </row>
    <row r="3" spans="1:17">
      <c r="B3" s="363"/>
      <c r="C3" s="363"/>
      <c r="D3" s="363"/>
      <c r="E3" s="363"/>
      <c r="F3" s="363"/>
      <c r="G3" s="363"/>
      <c r="H3" s="363"/>
    </row>
    <row r="4" spans="1:17" ht="15.75">
      <c r="B4" s="363"/>
      <c r="D4" s="402"/>
      <c r="E4" s="402"/>
      <c r="F4" s="403" t="str">
        <f>UPPER(COA!B2)</f>
        <v>ANONYMOUS COMPANY</v>
      </c>
      <c r="G4" s="403"/>
      <c r="H4" s="403"/>
    </row>
    <row r="5" spans="1:17" ht="15.75">
      <c r="B5" s="363"/>
      <c r="D5" s="404"/>
      <c r="E5" s="404"/>
      <c r="F5" s="405" t="str">
        <f>UPPER(_xlfn.XLOOKUP(A2,COA!G1:G174,COA!I1:I174))</f>
        <v>MARKETABLE SECURITIES</v>
      </c>
      <c r="G5" s="405"/>
      <c r="H5" s="405"/>
      <c r="I5" s="404"/>
      <c r="J5" s="404"/>
    </row>
    <row r="6" spans="1:17">
      <c r="B6" s="363"/>
      <c r="D6" s="406"/>
      <c r="E6" s="406"/>
      <c r="F6" s="407" t="str">
        <f>"FOR THE YEAR ENDED "&amp;UPPER(TEXT(COA!$B$4,"MMMM DD, YYYY"))</f>
        <v>FOR THE YEAR ENDED DECEMBER 31, 2025</v>
      </c>
      <c r="G6" s="407"/>
      <c r="H6" s="407"/>
    </row>
    <row r="7" spans="1:17">
      <c r="B7" s="363"/>
      <c r="C7" s="363"/>
      <c r="D7" s="363"/>
      <c r="E7" s="363"/>
      <c r="F7" s="363"/>
      <c r="G7" s="363"/>
      <c r="H7" s="363"/>
    </row>
    <row r="8" spans="1:17">
      <c r="B8" s="363"/>
      <c r="C8" s="364"/>
      <c r="D8" s="364"/>
      <c r="E8" s="365"/>
      <c r="F8" s="365"/>
      <c r="G8" s="364"/>
      <c r="H8" s="364"/>
    </row>
    <row r="9" spans="1:17" ht="13.5" thickBot="1">
      <c r="B9" s="1293" t="s">
        <v>357</v>
      </c>
      <c r="C9" s="1293"/>
      <c r="D9" s="1293"/>
      <c r="E9" s="366" t="s">
        <v>0</v>
      </c>
      <c r="F9" s="367" t="s">
        <v>356</v>
      </c>
      <c r="P9" s="368">
        <f>YEAR(COA!B4)</f>
        <v>2025</v>
      </c>
      <c r="Q9" s="368">
        <f>P9-1</f>
        <v>2024</v>
      </c>
    </row>
    <row r="10" spans="1:17">
      <c r="B10" s="408" t="s">
        <v>358</v>
      </c>
      <c r="C10" s="409" t="s">
        <v>359</v>
      </c>
      <c r="D10" s="409" t="s">
        <v>360</v>
      </c>
      <c r="F10" s="369"/>
      <c r="P10" s="370"/>
      <c r="Q10" s="370"/>
    </row>
    <row r="11" spans="1:17">
      <c r="B11" s="410">
        <f>IFERROR(MATCH(D11,M_COA[LSheetID],0),"")</f>
        <v>80</v>
      </c>
      <c r="C11" s="371">
        <v>7</v>
      </c>
      <c r="D11" s="371" t="str">
        <f t="shared" ref="D11:D13" si="0">_xlfn.CONCAT($I$2,C11)</f>
        <v>257</v>
      </c>
      <c r="F11" s="398" t="str" cm="1">
        <f t="array" ref="F11">IFERROR(INDEX(M_COA[ACCOUNT],B11),0)</f>
        <v xml:space="preserve">4023 Sale of CDN Securities </v>
      </c>
      <c r="P11" s="398" cm="1">
        <f t="array" ref="P11">IFERROR(INDEX(M_COA[CY],B11),0)</f>
        <v>-109486.56000000001</v>
      </c>
      <c r="Q11" s="398" cm="1">
        <f t="array" ref="Q11">IFERROR(INDEX(M_COA[PY1],B11),0)</f>
        <v>0</v>
      </c>
    </row>
    <row r="12" spans="1:17">
      <c r="B12" s="410">
        <f>IFERROR(MATCH(D12,M_COA[LSheetID],0),"")</f>
        <v>81</v>
      </c>
      <c r="C12" s="371">
        <f t="shared" ref="C12:C18" si="1">C11+1</f>
        <v>8</v>
      </c>
      <c r="D12" s="371" t="str">
        <f t="shared" si="0"/>
        <v>258</v>
      </c>
      <c r="F12" s="398" t="str" cm="1">
        <f t="array" ref="F12">IFERROR(INDEX(M_COA[ACCOUNT],B12),0)</f>
        <v>4156 Cost of CDN Securities Sold</v>
      </c>
      <c r="P12" s="398" cm="1">
        <f t="array" ref="P12">IFERROR(INDEX(M_COA[CY],B12),0)</f>
        <v>109667.01</v>
      </c>
      <c r="Q12" s="398" cm="1">
        <f t="array" ref="Q12">IFERROR(INDEX(M_COA[PY1],B12),0)</f>
        <v>0</v>
      </c>
    </row>
    <row r="13" spans="1:17">
      <c r="B13" s="410">
        <f>IFERROR(MATCH(D13,M_COA[LSheetID],0),"")</f>
        <v>82</v>
      </c>
      <c r="C13" s="371">
        <f t="shared" si="1"/>
        <v>9</v>
      </c>
      <c r="D13" s="371" t="str">
        <f t="shared" si="0"/>
        <v>259</v>
      </c>
      <c r="F13" s="398" t="str" cm="1">
        <f t="array" ref="F13">IFERROR(INDEX(M_COA[ACCOUNT],B13),0)</f>
        <v>4170 US Sale of Securities</v>
      </c>
      <c r="P13" s="398" cm="1">
        <f t="array" ref="P13">IFERROR(INDEX(M_COA[CY],B13),0)</f>
        <v>-52510.859999999993</v>
      </c>
      <c r="Q13" s="398" cm="1">
        <f t="array" ref="Q13">IFERROR(INDEX(M_COA[PY1],B13),0)</f>
        <v>0</v>
      </c>
    </row>
    <row r="14" spans="1:17">
      <c r="B14" s="410">
        <f>IFERROR(MATCH(D14,M_COA[LSheetID],0),"")</f>
        <v>83</v>
      </c>
      <c r="C14" s="371">
        <f t="shared" si="1"/>
        <v>10</v>
      </c>
      <c r="D14" s="371" t="str">
        <f t="shared" ref="D14" si="2">_xlfn.CONCAT($I$2,C14)</f>
        <v>2510</v>
      </c>
      <c r="F14" s="398" t="str" cm="1">
        <f t="array" ref="F14">IFERROR(INDEX(M_COA[ACCOUNT],B14),0)</f>
        <v>4171 Cost of US Securities Sold</v>
      </c>
      <c r="P14" s="398" cm="1">
        <f t="array" ref="P14">IFERROR(INDEX(M_COA[CY],B14),0)</f>
        <v>54736.17</v>
      </c>
      <c r="Q14" s="398" cm="1">
        <f t="array" ref="Q14">IFERROR(INDEX(M_COA[PY1],B14),0)</f>
        <v>0</v>
      </c>
    </row>
    <row r="15" spans="1:17">
      <c r="B15" s="410">
        <f>IFERROR(MATCH(D15,M_COA[LSheetID],0),"")</f>
        <v>84</v>
      </c>
      <c r="C15" s="371">
        <f t="shared" si="1"/>
        <v>11</v>
      </c>
      <c r="D15" s="371" t="str">
        <f t="shared" ref="D15:D18" si="3">_xlfn.CONCAT($I$2,C15)</f>
        <v>2511</v>
      </c>
      <c r="F15" s="398" t="str" cm="1">
        <f t="array" ref="F15">IFERROR(INDEX(M_COA[ACCOUNT],B15),0)</f>
        <v>4190 Unrealized gain/loss on Canadian securities</v>
      </c>
      <c r="P15" s="398" cm="1">
        <f t="array" ref="P15">IFERROR(INDEX(M_COA[CY],B15),0)</f>
        <v>-12350</v>
      </c>
      <c r="Q15" s="398" cm="1">
        <f t="array" ref="Q15">IFERROR(INDEX(M_COA[PY1],B15),0)</f>
        <v>0</v>
      </c>
    </row>
    <row r="16" spans="1:17">
      <c r="B16" s="410">
        <f>IFERROR(MATCH(D16,M_COA[LSheetID],0),"")</f>
        <v>85</v>
      </c>
      <c r="C16" s="371">
        <f t="shared" si="1"/>
        <v>12</v>
      </c>
      <c r="D16" s="371" t="str">
        <f t="shared" si="3"/>
        <v>2512</v>
      </c>
      <c r="F16" s="398" t="str" cm="1">
        <f t="array" ref="F16">IFERROR(INDEX(M_COA[ACCOUNT],B16),0)</f>
        <v>4191 Unrealized gain/loss on foreign securities</v>
      </c>
      <c r="P16" s="398" cm="1">
        <f t="array" ref="P16">IFERROR(INDEX(M_COA[CY],B16),0)</f>
        <v>-6265</v>
      </c>
      <c r="Q16" s="398" cm="1">
        <f t="array" ref="Q16">IFERROR(INDEX(M_COA[PY1],B16),0)</f>
        <v>0</v>
      </c>
    </row>
    <row r="17" spans="2:17">
      <c r="B17" s="410">
        <f>IFERROR(MATCH(D17,M_COA[LSheetID],0),"")</f>
        <v>86</v>
      </c>
      <c r="C17" s="371">
        <f t="shared" si="1"/>
        <v>13</v>
      </c>
      <c r="D17" s="371" t="str">
        <f t="shared" si="3"/>
        <v>2513</v>
      </c>
      <c r="F17" s="398" t="str" cm="1">
        <f t="array" ref="F17">IFERROR(INDEX(M_COA[ACCOUNT],B17),0)</f>
        <v>4299 Investment management fees</v>
      </c>
      <c r="P17" s="398" cm="1">
        <f t="array" ref="P17">IFERROR(INDEX(M_COA[CY],B17),0)</f>
        <v>0</v>
      </c>
      <c r="Q17" s="398" cm="1">
        <f t="array" ref="Q17">IFERROR(INDEX(M_COA[PY1],B17),0)</f>
        <v>0</v>
      </c>
    </row>
    <row r="18" spans="2:17">
      <c r="B18" s="410" t="str">
        <f>IFERROR(MATCH(D18,M_COA[LSheetID],0),"")</f>
        <v/>
      </c>
      <c r="C18" s="371">
        <f t="shared" si="1"/>
        <v>14</v>
      </c>
      <c r="D18" s="371" t="str">
        <f t="shared" si="3"/>
        <v>2514</v>
      </c>
      <c r="F18" s="398" cm="1">
        <f t="array" ref="F18">IFERROR(INDEX(M_COA[ACCOUNT],B18),0)</f>
        <v>0</v>
      </c>
      <c r="P18" s="398" cm="1">
        <f t="array" ref="P18">IFERROR(INDEX(M_COA[CY],B18),0)</f>
        <v>0</v>
      </c>
      <c r="Q18" s="398" cm="1">
        <f t="array" ref="Q18">IFERROR(INDEX(M_COA[PY1],B18),0)</f>
        <v>0</v>
      </c>
    </row>
    <row r="19" spans="2:17">
      <c r="B19" s="410" t="str">
        <f>IFERROR(MATCH(D19,M_COA[LSheetID],0),"")</f>
        <v/>
      </c>
      <c r="C19" s="371"/>
      <c r="D19" s="371"/>
      <c r="F19" s="398"/>
      <c r="P19" s="398"/>
      <c r="Q19" s="398"/>
    </row>
    <row r="20" spans="2:17" ht="13.5" thickBot="1">
      <c r="B20" s="363"/>
      <c r="C20" s="371"/>
      <c r="D20" s="371"/>
      <c r="E20" s="371"/>
      <c r="F20" s="372"/>
      <c r="P20" s="411">
        <f>SUM(P11:P18)</f>
        <v>-16209.240000000013</v>
      </c>
      <c r="Q20" s="411">
        <f>SUM(Q11:Q18)</f>
        <v>0</v>
      </c>
    </row>
    <row r="21" spans="2:17" ht="13.5" thickTop="1">
      <c r="B21" s="363"/>
      <c r="C21" s="373"/>
      <c r="D21" s="373"/>
      <c r="E21" s="373"/>
      <c r="F21" s="373"/>
      <c r="N21" s="374"/>
      <c r="Q21" s="374"/>
    </row>
    <row r="22" spans="2:17" ht="14.25">
      <c r="G22" s="1304" t="s">
        <v>1402</v>
      </c>
      <c r="H22" s="1305"/>
      <c r="I22" s="1305"/>
      <c r="J22" s="1305"/>
      <c r="K22" s="1306"/>
      <c r="L22" s="1304" t="s">
        <v>1403</v>
      </c>
      <c r="M22" s="1305"/>
      <c r="N22" s="1305"/>
      <c r="O22" s="1305"/>
      <c r="P22" s="1305"/>
    </row>
    <row r="23" spans="2:17" ht="14.25">
      <c r="G23" s="1301" t="s">
        <v>1404</v>
      </c>
      <c r="H23" s="1302"/>
      <c r="I23" s="1302"/>
      <c r="J23" s="1302"/>
      <c r="K23" s="1303"/>
      <c r="L23" s="722"/>
      <c r="M23" s="720"/>
      <c r="N23" s="721"/>
      <c r="O23" s="721"/>
      <c r="P23" s="721"/>
    </row>
    <row r="24" spans="2:17" ht="28.5">
      <c r="G24" s="725" t="s">
        <v>1410</v>
      </c>
      <c r="H24" s="726" t="s">
        <v>868</v>
      </c>
      <c r="I24" s="726" t="s">
        <v>1405</v>
      </c>
      <c r="J24" s="727" t="s">
        <v>1406</v>
      </c>
      <c r="K24" s="728" t="s">
        <v>22</v>
      </c>
      <c r="L24" s="729" t="s">
        <v>1409</v>
      </c>
      <c r="M24" s="726" t="s">
        <v>11</v>
      </c>
      <c r="N24" s="726" t="s">
        <v>1408</v>
      </c>
      <c r="O24" s="726" t="s">
        <v>26</v>
      </c>
      <c r="P24" s="728" t="s">
        <v>1407</v>
      </c>
    </row>
    <row r="26" spans="2:17">
      <c r="G26" s="730" t="s">
        <v>1411</v>
      </c>
      <c r="H26" s="121" t="s">
        <v>0</v>
      </c>
      <c r="I26" s="731" t="s">
        <v>0</v>
      </c>
      <c r="J26" s="732" t="s">
        <v>0</v>
      </c>
      <c r="K26" s="121" t="s">
        <v>0</v>
      </c>
      <c r="L26" s="723" t="s">
        <v>0</v>
      </c>
      <c r="M26" s="121" t="s">
        <v>0</v>
      </c>
      <c r="N26" s="733" t="s">
        <v>0</v>
      </c>
      <c r="O26" s="733" t="s">
        <v>0</v>
      </c>
      <c r="P26" s="1206" t="s">
        <v>0</v>
      </c>
    </row>
    <row r="27" spans="2:17" ht="14.25">
      <c r="G27" s="1225">
        <v>1</v>
      </c>
      <c r="H27" s="1224" t="str">
        <f>_xlfn.LET(_xlpm.RESULT,_xlfn.XLOOKUP(G27,BK_CDN!$R$10:$R$84,BK_CDN!$M$10:$M$84,0),IF(_xlpm.RESULT=0,"",_xlpm.RESULT))</f>
        <v>JCI</v>
      </c>
      <c r="I27" s="1226" t="str">
        <f t="shared" ref="I27:I31" ca="1" si="4">IF(H27="","",IF(P27&gt;0.01,1,IF(P27&lt;0.01," ")))</f>
        <v xml:space="preserve"> </v>
      </c>
      <c r="J27" s="1227">
        <f t="shared" ref="J27:J31" ca="1" si="5">IF(H27="","",IF(P27&gt;0.01," ",IF(P27&lt;0.01,1)))</f>
        <v>1</v>
      </c>
      <c r="K27" s="1224">
        <f ca="1">_xlfn.LET(_xlpm.RESULT,_xlfn.XLOOKUP(G27,BK_CDN!$R$10:$R$84,BK_CDN!$AJ$10:$AJ$84,0),IF(_xlpm.RESULT=0,"",_xlpm.RESULT))</f>
        <v>40</v>
      </c>
      <c r="L27" s="724">
        <f ca="1">IF(H27="","",(IF(M27&gt;0.01,(P27/O27),0)))</f>
        <v>-5.7586685488558664E-2</v>
      </c>
      <c r="M27" s="1224">
        <f>_xlfn.LET(_xlpm.RESULT,_xlfn.XLOOKUP(G27,BK_CDN!$R$10:$R$84,BK_CDN!$AA$10:$AA$84,0),IF(_xlpm.RESULT=0,"",_xlpm.RESULT))*-1</f>
        <v>100</v>
      </c>
      <c r="N27" s="1228">
        <f>_xlfn.LET(_xlpm.RESULT,_xlfn.XLOOKUP(G27,BK_CDN!$R$10:$R$84,BK_CDN!$AG$10:$AG$84,0),IF(_xlpm.RESULT=0,"",_xlpm.RESULT))*-1</f>
        <v>11122.23</v>
      </c>
      <c r="O27" s="1228">
        <f ca="1">_xlfn.LET(_xlpm.RESULT,_xlfn.XLOOKUP(G27,BK_CDN!$R$10:$R$84,BK_CDN!$AE$10:$AE$84,0),IF(_xlpm.RESULT=0,"",_xlpm.RESULT))*-1</f>
        <v>11801.86</v>
      </c>
      <c r="P27" s="203">
        <f ca="1">IF(H27="","",(-N27+O27))*-1</f>
        <v>-679.63000000000102</v>
      </c>
    </row>
    <row r="28" spans="2:17" ht="14.25">
      <c r="G28" s="1225">
        <f>G27+1</f>
        <v>2</v>
      </c>
      <c r="H28" s="1224" t="str">
        <f>_xlfn.LET(_xlpm.RESULT,_xlfn.XLOOKUP(G28,BK_CDN!$R$10:$R$84,BK_CDN!$M$10:$M$84,0),IF(_xlpm.RESULT=0,"",_xlpm.RESULT))</f>
        <v>MS</v>
      </c>
      <c r="I28" s="1226">
        <f t="shared" ca="1" si="4"/>
        <v>1</v>
      </c>
      <c r="J28" s="1227" t="str">
        <f t="shared" ca="1" si="5"/>
        <v xml:space="preserve"> </v>
      </c>
      <c r="K28" s="1224">
        <f ca="1">_xlfn.LET(_xlpm.RESULT,_xlfn.XLOOKUP(G28,BK_CDN!$R$10:$R$84,BK_CDN!$AJ$10:$AJ$84,0),IF(_xlpm.RESULT=0,"",_xlpm.RESULT))</f>
        <v>7</v>
      </c>
      <c r="L28" s="724">
        <f t="shared" ref="L28:L41" ca="1" si="6">IF(H28="","",(IF(M28&gt;0.01,(P28/O28),0)))</f>
        <v>9.1463987435599997E-2</v>
      </c>
      <c r="M28" s="1224">
        <f>_xlfn.LET(_xlpm.RESULT,_xlfn.XLOOKUP(G28,BK_CDN!$R$10:$R$84,BK_CDN!$AA$10:$AA$84,0),IF(_xlpm.RESULT=0,"",_xlpm.RESULT))*-1</f>
        <v>75</v>
      </c>
      <c r="N28" s="1228">
        <f>_xlfn.LET(_xlpm.RESULT,_xlfn.XLOOKUP(G28,BK_CDN!$R$10:$R$84,BK_CDN!$AG$10:$AG$84,0),IF(_xlpm.RESULT=0,"",_xlpm.RESULT))*-1</f>
        <v>14872.07</v>
      </c>
      <c r="O28" s="1228">
        <f ca="1">_xlfn.LET(_xlpm.RESULT,_xlfn.XLOOKUP(G28,BK_CDN!$R$10:$R$84,BK_CDN!$AE$10:$AE$84,0),IF(_xlpm.RESULT=0,"",_xlpm.RESULT))*-1</f>
        <v>13625.800000000001</v>
      </c>
      <c r="P28" s="203">
        <f t="shared" ref="P28:P41" ca="1" si="7">IF(H28="","",(-N28+O28))*-1</f>
        <v>1246.2699999999986</v>
      </c>
    </row>
    <row r="29" spans="2:17" ht="14.25">
      <c r="G29" s="1225">
        <f>G28+1</f>
        <v>3</v>
      </c>
      <c r="H29" s="1224" t="str">
        <f>_xlfn.LET(_xlpm.RESULT,_xlfn.XLOOKUP(G29,BK_CDN!$R$10:$R$84,BK_CDN!$M$10:$M$84,0),IF(_xlpm.RESULT=0,"",_xlpm.RESULT))</f>
        <v>MFC</v>
      </c>
      <c r="I29" s="1226">
        <f t="shared" ca="1" si="4"/>
        <v>1</v>
      </c>
      <c r="J29" s="1227" t="str">
        <f t="shared" ca="1" si="5"/>
        <v xml:space="preserve"> </v>
      </c>
      <c r="K29" s="1224">
        <f ca="1">_xlfn.LET(_xlpm.RESULT,_xlfn.XLOOKUP(G29,BK_CDN!$R$10:$R$84,BK_CDN!$AJ$10:$AJ$84,0),IF(_xlpm.RESULT=0,"",_xlpm.RESULT))</f>
        <v>37</v>
      </c>
      <c r="L29" s="724">
        <f t="shared" ca="1" si="6"/>
        <v>0.73604969467256243</v>
      </c>
      <c r="M29" s="1224">
        <f>_xlfn.LET(_xlpm.RESULT,_xlfn.XLOOKUP(G29,BK_CDN!$R$10:$R$84,BK_CDN!$AA$10:$AA$84,0),IF(_xlpm.RESULT=0,"",_xlpm.RESULT))*-1</f>
        <v>4</v>
      </c>
      <c r="N29" s="1228">
        <f>_xlfn.LET(_xlpm.RESULT,_xlfn.XLOOKUP(G29,BK_CDN!$R$10:$R$84,BK_CDN!$AG$10:$AG$84,0),IF(_xlpm.RESULT=0,"",_xlpm.RESULT))*-1</f>
        <v>164.89</v>
      </c>
      <c r="O29" s="1228">
        <f ca="1">_xlfn.LET(_xlpm.RESULT,_xlfn.XLOOKUP(G29,BK_CDN!$R$10:$R$84,BK_CDN!$AE$10:$AE$84,0),IF(_xlpm.RESULT=0,"",_xlpm.RESULT))*-1</f>
        <v>94.98</v>
      </c>
      <c r="P29" s="203">
        <f t="shared" ca="1" si="7"/>
        <v>69.909999999999982</v>
      </c>
    </row>
    <row r="30" spans="2:17" ht="14.25">
      <c r="G30" s="1225">
        <f>G29+1</f>
        <v>4</v>
      </c>
      <c r="H30" s="1224" t="str">
        <f>_xlfn.LET(_xlpm.RESULT,_xlfn.XLOOKUP(G30,BK_CDN!$R$10:$R$84,BK_CDN!$M$10:$M$84,0),IF(_xlpm.RESULT=0,"",_xlpm.RESULT))</f>
        <v>AMZN</v>
      </c>
      <c r="I30" s="1226">
        <f t="shared" ca="1" si="4"/>
        <v>1</v>
      </c>
      <c r="J30" s="1227" t="str">
        <f t="shared" ca="1" si="5"/>
        <v xml:space="preserve"> </v>
      </c>
      <c r="K30" s="1224">
        <f ca="1">_xlfn.LET(_xlpm.RESULT,_xlfn.XLOOKUP(G30,BK_CDN!$R$10:$R$84,BK_CDN!$AJ$10:$AJ$84,0),IF(_xlpm.RESULT=0,"",_xlpm.RESULT))</f>
        <v>7</v>
      </c>
      <c r="L30" s="724">
        <f t="shared" ca="1" si="6"/>
        <v>4.1703833038111794E-2</v>
      </c>
      <c r="M30" s="1224">
        <f>_xlfn.LET(_xlpm.RESULT,_xlfn.XLOOKUP(G30,BK_CDN!$R$10:$R$84,BK_CDN!$AA$10:$AA$84,0),IF(_xlpm.RESULT=0,"",_xlpm.RESULT))*-1</f>
        <v>45</v>
      </c>
      <c r="N30" s="1228">
        <f>_xlfn.LET(_xlpm.RESULT,_xlfn.XLOOKUP(G30,BK_CDN!$R$10:$R$84,BK_CDN!$AG$10:$AG$84,0),IF(_xlpm.RESULT=0,"",_xlpm.RESULT))*-1</f>
        <v>15637.36</v>
      </c>
      <c r="O30" s="1228">
        <f ca="1">_xlfn.LET(_xlpm.RESULT,_xlfn.XLOOKUP(G30,BK_CDN!$R$10:$R$84,BK_CDN!$AE$10:$AE$84,0),IF(_xlpm.RESULT=0,"",_xlpm.RESULT))*-1</f>
        <v>15011.330000000002</v>
      </c>
      <c r="P30" s="203">
        <f t="shared" ca="1" si="7"/>
        <v>626.02999999999884</v>
      </c>
    </row>
    <row r="31" spans="2:17" ht="14.25">
      <c r="G31" s="1225">
        <f>G30+1</f>
        <v>5</v>
      </c>
      <c r="H31" s="1224" t="str">
        <f>_xlfn.LET(_xlpm.RESULT,_xlfn.XLOOKUP(G31,BK_CDN!$R$10:$R$84,BK_CDN!$M$10:$M$84,0),IF(_xlpm.RESULT=0,"",_xlpm.RESULT))</f>
        <v>AMT</v>
      </c>
      <c r="I31" s="1226" t="str">
        <f t="shared" ca="1" si="4"/>
        <v xml:space="preserve"> </v>
      </c>
      <c r="J31" s="1227">
        <f t="shared" ca="1" si="5"/>
        <v>1</v>
      </c>
      <c r="K31" s="1224">
        <f ca="1">_xlfn.LET(_xlpm.RESULT,_xlfn.XLOOKUP(G31,BK_CDN!$R$10:$R$84,BK_CDN!$AJ$10:$AJ$84,0),IF(_xlpm.RESULT=0,"",_xlpm.RESULT))</f>
        <v>1</v>
      </c>
      <c r="L31" s="724">
        <f t="shared" ca="1" si="6"/>
        <v>-1.5921610572903252E-2</v>
      </c>
      <c r="M31" s="1224">
        <f>_xlfn.LET(_xlpm.RESULT,_xlfn.XLOOKUP(G31,BK_CDN!$R$10:$R$84,BK_CDN!$AA$10:$AA$84,0),IF(_xlpm.RESULT=0,"",_xlpm.RESULT))*-1</f>
        <v>44</v>
      </c>
      <c r="N31" s="1228">
        <f>_xlfn.LET(_xlpm.RESULT,_xlfn.XLOOKUP(G31,BK_CDN!$R$10:$R$84,BK_CDN!$AG$10:$AG$84,0),IF(_xlpm.RESULT=0,"",_xlpm.RESULT))*-1</f>
        <v>11886.86</v>
      </c>
      <c r="O31" s="1228">
        <f ca="1">_xlfn.LET(_xlpm.RESULT,_xlfn.XLOOKUP(G31,BK_CDN!$R$10:$R$84,BK_CDN!$AE$10:$AE$84,0),IF(_xlpm.RESULT=0,"",_xlpm.RESULT))*-1</f>
        <v>12079.180000000002</v>
      </c>
      <c r="P31" s="203">
        <f t="shared" ca="1" si="7"/>
        <v>-192.32000000000153</v>
      </c>
    </row>
    <row r="32" spans="2:17" ht="14.25">
      <c r="G32" s="1225">
        <f t="shared" ref="G32:G41" si="8">G31+1</f>
        <v>6</v>
      </c>
      <c r="H32" s="1224" t="str">
        <f>_xlfn.LET(_xlpm.RESULT,_xlfn.XLOOKUP(G32,BK_CDN!$R$10:$R$84,BK_CDN!$M$10:$M$84,0),IF(_xlpm.RESULT=0,"",_xlpm.RESULT))</f>
        <v>PEP</v>
      </c>
      <c r="I32" s="1226" t="str">
        <f t="shared" ref="I32:I40" ca="1" si="9">IF(H32="","",IF(P32&gt;0.01,1,IF(P32&lt;0.01," ")))</f>
        <v xml:space="preserve"> </v>
      </c>
      <c r="J32" s="1227">
        <f t="shared" ref="J32:J40" ca="1" si="10">IF(H32="","",IF(P32&gt;0.01," ",IF(P32&lt;0.01,1)))</f>
        <v>1</v>
      </c>
      <c r="K32" s="1224">
        <f ca="1">_xlfn.LET(_xlpm.RESULT,_xlfn.XLOOKUP(G32,BK_CDN!$R$10:$R$84,BK_CDN!$AJ$10:$AJ$84,0),IF(_xlpm.RESULT=0,"",_xlpm.RESULT))</f>
        <v>7</v>
      </c>
      <c r="L32" s="724">
        <f t="shared" ca="1" si="6"/>
        <v>-6.7351997831635577E-2</v>
      </c>
      <c r="M32" s="1224">
        <f>_xlfn.LET(_xlpm.RESULT,_xlfn.XLOOKUP(G32,BK_CDN!$R$10:$R$84,BK_CDN!$AA$10:$AA$84,0),IF(_xlpm.RESULT=0,"",_xlpm.RESULT))*-1</f>
        <v>16</v>
      </c>
      <c r="N32" s="1228">
        <f>_xlfn.LET(_xlpm.RESULT,_xlfn.XLOOKUP(G32,BK_CDN!$R$10:$R$84,BK_CDN!$AG$10:$AG$84,0),IF(_xlpm.RESULT=0,"",_xlpm.RESULT))*-1</f>
        <v>3303.29</v>
      </c>
      <c r="O32" s="1228">
        <f ca="1">_xlfn.LET(_xlpm.RESULT,_xlfn.XLOOKUP(G32,BK_CDN!$R$10:$R$84,BK_CDN!$AE$10:$AE$84,0),IF(_xlpm.RESULT=0,"",_xlpm.RESULT))*-1</f>
        <v>3541.84</v>
      </c>
      <c r="P32" s="203">
        <f t="shared" ca="1" si="7"/>
        <v>-238.55000000000018</v>
      </c>
    </row>
    <row r="33" spans="7:16" ht="14.25">
      <c r="G33" s="1225">
        <f t="shared" si="8"/>
        <v>7</v>
      </c>
      <c r="H33" s="1224" t="str">
        <f>_xlfn.LET(_xlpm.RESULT,_xlfn.XLOOKUP(G33,BK_CDN!$R$10:$R$84,BK_CDN!$M$10:$M$84,0),IF(_xlpm.RESULT=0,"",_xlpm.RESULT))</f>
        <v>CROX</v>
      </c>
      <c r="I33" s="1226" t="str">
        <f t="shared" ca="1" si="9"/>
        <v xml:space="preserve"> </v>
      </c>
      <c r="J33" s="1227">
        <f t="shared" ca="1" si="10"/>
        <v>1</v>
      </c>
      <c r="K33" s="1224">
        <f ca="1">_xlfn.LET(_xlpm.RESULT,_xlfn.XLOOKUP(G33,BK_CDN!$R$10:$R$84,BK_CDN!$AJ$10:$AJ$84,0),IF(_xlpm.RESULT=0,"",_xlpm.RESULT))</f>
        <v>6</v>
      </c>
      <c r="L33" s="724">
        <f t="shared" ca="1" si="6"/>
        <v>-8.5493150306354321E-2</v>
      </c>
      <c r="M33" s="1224">
        <f>_xlfn.LET(_xlpm.RESULT,_xlfn.XLOOKUP(G33,BK_CDN!$R$10:$R$84,BK_CDN!$AA$10:$AA$84,0),IF(_xlpm.RESULT=0,"",_xlpm.RESULT))*-1</f>
        <v>40</v>
      </c>
      <c r="N33" s="1228">
        <f>_xlfn.LET(_xlpm.RESULT,_xlfn.XLOOKUP(G33,BK_CDN!$R$10:$R$84,BK_CDN!$AG$10:$AG$84,0),IF(_xlpm.RESULT=0,"",_xlpm.RESULT))*-1</f>
        <v>5625.47</v>
      </c>
      <c r="O33" s="1228">
        <f ca="1">_xlfn.LET(_xlpm.RESULT,_xlfn.XLOOKUP(G33,BK_CDN!$R$10:$R$84,BK_CDN!$AE$10:$AE$84,0),IF(_xlpm.RESULT=0,"",_xlpm.RESULT))*-1</f>
        <v>6151.369999999999</v>
      </c>
      <c r="P33" s="203">
        <f t="shared" ca="1" si="7"/>
        <v>-525.89999999999873</v>
      </c>
    </row>
    <row r="34" spans="7:16" ht="14.25">
      <c r="G34" s="1225">
        <f t="shared" si="8"/>
        <v>8</v>
      </c>
      <c r="H34" s="1224" t="str">
        <f>_xlfn.LET(_xlpm.RESULT,_xlfn.XLOOKUP(G34,BK_CDN!$R$10:$R$84,BK_CDN!$M$10:$M$84,0),IF(_xlpm.RESULT=0,"",_xlpm.RESULT))</f>
        <v>GLW</v>
      </c>
      <c r="I34" s="1226">
        <f t="shared" ca="1" si="9"/>
        <v>1</v>
      </c>
      <c r="J34" s="1227" t="str">
        <f t="shared" ca="1" si="10"/>
        <v xml:space="preserve"> </v>
      </c>
      <c r="K34" s="1224">
        <f ca="1">_xlfn.LET(_xlpm.RESULT,_xlfn.XLOOKUP(G34,BK_CDN!$R$10:$R$84,BK_CDN!$AJ$10:$AJ$84,0),IF(_xlpm.RESULT=0,"",_xlpm.RESULT))</f>
        <v>11</v>
      </c>
      <c r="L34" s="724">
        <f t="shared" ca="1" si="6"/>
        <v>5.9046860434377339E-2</v>
      </c>
      <c r="M34" s="1224">
        <f>_xlfn.LET(_xlpm.RESULT,_xlfn.XLOOKUP(G34,BK_CDN!$R$10:$R$84,BK_CDN!$AA$10:$AA$84,0),IF(_xlpm.RESULT=0,"",_xlpm.RESULT))*-1</f>
        <v>79</v>
      </c>
      <c r="N34" s="1228">
        <f>_xlfn.LET(_xlpm.RESULT,_xlfn.XLOOKUP(G34,BK_CDN!$R$10:$R$84,BK_CDN!$AG$10:$AG$84,0),IF(_xlpm.RESULT=0,"",_xlpm.RESULT))*-1</f>
        <v>6089.35</v>
      </c>
      <c r="O34" s="1228">
        <f ca="1">_xlfn.LET(_xlpm.RESULT,_xlfn.XLOOKUP(G34,BK_CDN!$R$10:$R$84,BK_CDN!$AE$10:$AE$84,0),IF(_xlpm.RESULT=0,"",_xlpm.RESULT))*-1</f>
        <v>5749.84</v>
      </c>
      <c r="P34" s="203">
        <f t="shared" ca="1" si="7"/>
        <v>339.51000000000022</v>
      </c>
    </row>
    <row r="35" spans="7:16" ht="14.25">
      <c r="G35" s="1225">
        <f t="shared" si="8"/>
        <v>9</v>
      </c>
      <c r="H35" s="1224" t="str">
        <f>_xlfn.LET(_xlpm.RESULT,_xlfn.XLOOKUP(G35,BK_CDN!$R$10:$R$84,BK_CDN!$M$10:$M$84,0),IF(_xlpm.RESULT=0,"",_xlpm.RESULT))</f>
        <v>VRN</v>
      </c>
      <c r="I35" s="1226" t="str">
        <f t="shared" ca="1" si="9"/>
        <v xml:space="preserve"> </v>
      </c>
      <c r="J35" s="1227">
        <f t="shared" ca="1" si="10"/>
        <v>1</v>
      </c>
      <c r="K35" s="1224">
        <f ca="1">_xlfn.LET(_xlpm.RESULT,_xlfn.XLOOKUP(G35,BK_CDN!$R$10:$R$84,BK_CDN!$AJ$10:$AJ$84,0),IF(_xlpm.RESULT=0,"",_xlpm.RESULT))</f>
        <v>43</v>
      </c>
      <c r="L35" s="724">
        <f t="shared" ca="1" si="6"/>
        <v>-8.4430299172501652E-2</v>
      </c>
      <c r="M35" s="1224">
        <f>_xlfn.LET(_xlpm.RESULT,_xlfn.XLOOKUP(G35,BK_CDN!$R$10:$R$84,BK_CDN!$AA$10:$AA$84,0),IF(_xlpm.RESULT=0,"",_xlpm.RESULT))*-1</f>
        <v>99</v>
      </c>
      <c r="N35" s="1228">
        <f>_xlfn.LET(_xlpm.RESULT,_xlfn.XLOOKUP(G35,BK_CDN!$R$10:$R$84,BK_CDN!$AG$10:$AG$84,0),IF(_xlpm.RESULT=0,"",_xlpm.RESULT))*-1</f>
        <v>719.18</v>
      </c>
      <c r="O35" s="1228">
        <f ca="1">_xlfn.LET(_xlpm.RESULT,_xlfn.XLOOKUP(G35,BK_CDN!$R$10:$R$84,BK_CDN!$AE$10:$AE$84,0),IF(_xlpm.RESULT=0,"",_xlpm.RESULT))*-1</f>
        <v>785.5</v>
      </c>
      <c r="P35" s="203">
        <f t="shared" ca="1" si="7"/>
        <v>-66.32000000000005</v>
      </c>
    </row>
    <row r="36" spans="7:16" ht="14.25">
      <c r="G36" s="1225">
        <f t="shared" si="8"/>
        <v>10</v>
      </c>
      <c r="H36" s="1224" t="str">
        <f>_xlfn.LET(_xlpm.RESULT,_xlfn.XLOOKUP(G36,BK_CDN!$R$10:$R$84,BK_CDN!$M$10:$M$84,0),IF(_xlpm.RESULT=0,"",_xlpm.RESULT))</f>
        <v>GIL</v>
      </c>
      <c r="I36" s="1226">
        <f t="shared" ca="1" si="9"/>
        <v>1</v>
      </c>
      <c r="J36" s="1227" t="str">
        <f t="shared" ca="1" si="10"/>
        <v xml:space="preserve"> </v>
      </c>
      <c r="K36" s="1224">
        <f ca="1">_xlfn.LET(_xlpm.RESULT,_xlfn.XLOOKUP(G36,BK_CDN!$R$10:$R$84,BK_CDN!$AJ$10:$AJ$84,0),IF(_xlpm.RESULT=0,"",_xlpm.RESULT))</f>
        <v>15</v>
      </c>
      <c r="L36" s="724">
        <f t="shared" ca="1" si="6"/>
        <v>2.0493693296470057E-2</v>
      </c>
      <c r="M36" s="1224">
        <f>_xlfn.LET(_xlpm.RESULT,_xlfn.XLOOKUP(G36,BK_CDN!$R$10:$R$84,BK_CDN!$AA$10:$AA$84,0),IF(_xlpm.RESULT=0,"",_xlpm.RESULT))*-1</f>
        <v>118</v>
      </c>
      <c r="N36" s="1228">
        <f>_xlfn.LET(_xlpm.RESULT,_xlfn.XLOOKUP(G36,BK_CDN!$R$10:$R$84,BK_CDN!$AG$10:$AG$84,0),IF(_xlpm.RESULT=0,"",_xlpm.RESULT))*-1</f>
        <v>9072.74</v>
      </c>
      <c r="O36" s="1228">
        <f ca="1">_xlfn.LET(_xlpm.RESULT,_xlfn.XLOOKUP(G36,BK_CDN!$R$10:$R$84,BK_CDN!$AE$10:$AE$84,0),IF(_xlpm.RESULT=0,"",_xlpm.RESULT))*-1</f>
        <v>8890.5400000000009</v>
      </c>
      <c r="P36" s="203">
        <f t="shared" ca="1" si="7"/>
        <v>182.19999999999891</v>
      </c>
    </row>
    <row r="37" spans="7:16" ht="14.25">
      <c r="G37" s="1225">
        <f t="shared" si="8"/>
        <v>11</v>
      </c>
      <c r="H37" s="1224" t="str">
        <f>_xlfn.LET(_xlpm.RESULT,_xlfn.XLOOKUP(G37,BK_CDN!$R$10:$R$84,BK_CDN!$M$10:$M$84,0),IF(_xlpm.RESULT=0,"",_xlpm.RESULT))</f>
        <v>IREN</v>
      </c>
      <c r="I37" s="1226" t="str">
        <f t="shared" ca="1" si="9"/>
        <v xml:space="preserve"> </v>
      </c>
      <c r="J37" s="1227">
        <f t="shared" ca="1" si="10"/>
        <v>1</v>
      </c>
      <c r="K37" s="1224">
        <f ca="1">_xlfn.LET(_xlpm.RESULT,_xlfn.XLOOKUP(G37,BK_CDN!$R$10:$R$84,BK_CDN!$AJ$10:$AJ$84,0),IF(_xlpm.RESULT=0,"",_xlpm.RESULT))</f>
        <v>10</v>
      </c>
      <c r="L37" s="724">
        <f t="shared" ca="1" si="6"/>
        <v>-8.6391383232636718E-2</v>
      </c>
      <c r="M37" s="1224">
        <f>_xlfn.LET(_xlpm.RESULT,_xlfn.XLOOKUP(G37,BK_CDN!$R$10:$R$84,BK_CDN!$AA$10:$AA$84,0),IF(_xlpm.RESULT=0,"",_xlpm.RESULT))*-1</f>
        <v>322</v>
      </c>
      <c r="N37" s="1228">
        <f>_xlfn.LET(_xlpm.RESULT,_xlfn.XLOOKUP(G37,BK_CDN!$R$10:$R$84,BK_CDN!$AG$10:$AG$84,0),IF(_xlpm.RESULT=0,"",_xlpm.RESULT))*-1</f>
        <v>5554.11</v>
      </c>
      <c r="O37" s="1228">
        <f ca="1">_xlfn.LET(_xlpm.RESULT,_xlfn.XLOOKUP(G37,BK_CDN!$R$10:$R$84,BK_CDN!$AE$10:$AE$84,0),IF(_xlpm.RESULT=0,"",_xlpm.RESULT))*-1</f>
        <v>6079.31</v>
      </c>
      <c r="P37" s="203">
        <f t="shared" ca="1" si="7"/>
        <v>-525.20000000000073</v>
      </c>
    </row>
    <row r="38" spans="7:16" ht="14.25">
      <c r="G38" s="1225">
        <f t="shared" si="8"/>
        <v>12</v>
      </c>
      <c r="H38" s="1224" t="str">
        <f>_xlfn.LET(_xlpm.RESULT,_xlfn.XLOOKUP(G38,BK_CDN!$R$10:$R$84,BK_CDN!$M$10:$M$84,0),IF(_xlpm.RESULT=0,"",_xlpm.RESULT))</f>
        <v>GRT.UN</v>
      </c>
      <c r="I38" s="1226" t="str">
        <f t="shared" ca="1" si="9"/>
        <v xml:space="preserve"> </v>
      </c>
      <c r="J38" s="1227">
        <f t="shared" ca="1" si="10"/>
        <v>1</v>
      </c>
      <c r="K38" s="1224">
        <f ca="1">_xlfn.LET(_xlpm.RESULT,_xlfn.XLOOKUP(G38,BK_CDN!$R$10:$R$84,BK_CDN!$AJ$10:$AJ$84,0),IF(_xlpm.RESULT=0,"",_xlpm.RESULT))</f>
        <v>318</v>
      </c>
      <c r="L38" s="724">
        <f t="shared" ca="1" si="6"/>
        <v>-4.0395120673799891E-2</v>
      </c>
      <c r="M38" s="1224">
        <f>_xlfn.LET(_xlpm.RESULT,_xlfn.XLOOKUP(G38,BK_CDN!$R$10:$R$84,BK_CDN!$AA$10:$AA$84,0),IF(_xlpm.RESULT=0,"",_xlpm.RESULT))*-1</f>
        <v>70</v>
      </c>
      <c r="N38" s="1228">
        <f>_xlfn.LET(_xlpm.RESULT,_xlfn.XLOOKUP(G38,BK_CDN!$R$10:$R$84,BK_CDN!$AG$10:$AG$84,0),IF(_xlpm.RESULT=0,"",_xlpm.RESULT))*-1</f>
        <v>4727.1000000000004</v>
      </c>
      <c r="O38" s="1228">
        <f ca="1">_xlfn.LET(_xlpm.RESULT,_xlfn.XLOOKUP(G38,BK_CDN!$R$10:$R$84,BK_CDN!$AE$10:$AE$84,0),IF(_xlpm.RESULT=0,"",_xlpm.RESULT))*-1</f>
        <v>4926.0899999999992</v>
      </c>
      <c r="P38" s="203">
        <f t="shared" ca="1" si="7"/>
        <v>-198.98999999999887</v>
      </c>
    </row>
    <row r="39" spans="7:16" ht="14.25">
      <c r="G39" s="1225">
        <f t="shared" si="8"/>
        <v>13</v>
      </c>
      <c r="H39" s="1224" t="str">
        <f>_xlfn.LET(_xlpm.RESULT,_xlfn.XLOOKUP(G39,BK_CDN!$R$10:$R$84,BK_CDN!$M$10:$M$84,0),IF(_xlpm.RESULT=0,"",_xlpm.RESULT))</f>
        <v>CNR</v>
      </c>
      <c r="I39" s="1226" t="str">
        <f t="shared" ca="1" si="9"/>
        <v xml:space="preserve"> </v>
      </c>
      <c r="J39" s="1227">
        <f t="shared" ca="1" si="10"/>
        <v>1</v>
      </c>
      <c r="K39" s="1224">
        <f ca="1">_xlfn.LET(_xlpm.RESULT,_xlfn.XLOOKUP(G39,BK_CDN!$R$10:$R$84,BK_CDN!$AJ$10:$AJ$84,0),IF(_xlpm.RESULT=0,"",_xlpm.RESULT))</f>
        <v>11</v>
      </c>
      <c r="L39" s="724">
        <f t="shared" ca="1" si="6"/>
        <v>-5.2479545192640184E-2</v>
      </c>
      <c r="M39" s="1224">
        <f>_xlfn.LET(_xlpm.RESULT,_xlfn.XLOOKUP(G39,BK_CDN!$R$10:$R$84,BK_CDN!$AA$10:$AA$84,0),IF(_xlpm.RESULT=0,"",_xlpm.RESULT))*-1</f>
        <v>106</v>
      </c>
      <c r="N39" s="1228">
        <f>_xlfn.LET(_xlpm.RESULT,_xlfn.XLOOKUP(G39,BK_CDN!$R$10:$R$84,BK_CDN!$AG$10:$AG$84,0),IF(_xlpm.RESULT=0,"",_xlpm.RESULT))*-1</f>
        <v>14800.08</v>
      </c>
      <c r="O39" s="1228">
        <f ca="1">_xlfn.LET(_xlpm.RESULT,_xlfn.XLOOKUP(G39,BK_CDN!$R$10:$R$84,BK_CDN!$AE$10:$AE$84,0),IF(_xlpm.RESULT=0,"",_xlpm.RESULT))*-1</f>
        <v>15619.800000000001</v>
      </c>
      <c r="P39" s="203">
        <f t="shared" ca="1" si="7"/>
        <v>-819.72000000000116</v>
      </c>
    </row>
    <row r="40" spans="7:16" ht="14.25">
      <c r="G40" s="1225">
        <f t="shared" si="8"/>
        <v>14</v>
      </c>
      <c r="H40" s="1224" t="str">
        <f>_xlfn.LET(_xlpm.RESULT,_xlfn.XLOOKUP(G40,BK_CDN!$R$10:$R$84,BK_CDN!$M$10:$M$84,0),IF(_xlpm.RESULT=0,"",_xlpm.RESULT))</f>
        <v>ADW.A</v>
      </c>
      <c r="I40" s="1226" t="str">
        <f t="shared" ca="1" si="9"/>
        <v xml:space="preserve"> </v>
      </c>
      <c r="J40" s="1227">
        <f t="shared" ca="1" si="10"/>
        <v>1</v>
      </c>
      <c r="K40" s="1224">
        <f ca="1">_xlfn.LET(_xlpm.RESULT,_xlfn.XLOOKUP(G40,BK_CDN!$R$10:$R$84,BK_CDN!$AJ$10:$AJ$84,0),IF(_xlpm.RESULT=0,"",_xlpm.RESULT))</f>
        <v>30</v>
      </c>
      <c r="L40" s="724">
        <f t="shared" ca="1" si="6"/>
        <v>-7.259094133144188E-2</v>
      </c>
      <c r="M40" s="1224">
        <f>_xlfn.LET(_xlpm.RESULT,_xlfn.XLOOKUP(G40,BK_CDN!$R$10:$R$84,BK_CDN!$AA$10:$AA$84,0),IF(_xlpm.RESULT=0,"",_xlpm.RESULT))*-1</f>
        <v>101</v>
      </c>
      <c r="N40" s="1228">
        <f>_xlfn.LET(_xlpm.RESULT,_xlfn.XLOOKUP(G40,BK_CDN!$R$10:$R$84,BK_CDN!$AG$10:$AG$84,0),IF(_xlpm.RESULT=0,"",_xlpm.RESULT))*-1</f>
        <v>457.63</v>
      </c>
      <c r="O40" s="1228">
        <f ca="1">_xlfn.LET(_xlpm.RESULT,_xlfn.XLOOKUP(G40,BK_CDN!$R$10:$R$84,BK_CDN!$AE$10:$AE$84,0),IF(_xlpm.RESULT=0,"",_xlpm.RESULT))*-1</f>
        <v>493.45</v>
      </c>
      <c r="P40" s="203">
        <f t="shared" ca="1" si="7"/>
        <v>-35.819999999999993</v>
      </c>
    </row>
    <row r="41" spans="7:16" ht="14.25">
      <c r="G41" s="1225">
        <f t="shared" si="8"/>
        <v>15</v>
      </c>
      <c r="H41" s="1224" t="str">
        <f>_xlfn.LET(_xlpm.RESULT,_xlfn.XLOOKUP(G41,BK_CDN!$R$10:$R$84,BK_CDN!$M$10:$M$84,0),IF(_xlpm.RESULT=0,"",_xlpm.RESULT))</f>
        <v>BLN</v>
      </c>
      <c r="I41" s="1226">
        <f t="shared" ref="I41" ca="1" si="11">IF(H41="","",IF(P41&gt;0.01,1,IF(P41&lt;0.01," ")))</f>
        <v>1</v>
      </c>
      <c r="J41" s="1227" t="str">
        <f t="shared" ref="J41" ca="1" si="12">IF(H41="","",IF(P41&gt;0.01," ",IF(P41&lt;0.01,1)))</f>
        <v xml:space="preserve"> </v>
      </c>
      <c r="K41" s="1224">
        <f ca="1">_xlfn.LET(_xlpm.RESULT,_xlfn.XLOOKUP(G41,BK_CDN!$R$10:$R$84,BK_CDN!$AJ$10:$AJ$84,0),IF(_xlpm.RESULT=0,"",_xlpm.RESULT))</f>
        <v>79</v>
      </c>
      <c r="L41" s="724">
        <f t="shared" ca="1" si="6"/>
        <v>0.13248839314635036</v>
      </c>
      <c r="M41" s="1224">
        <f>_xlfn.LET(_xlpm.RESULT,_xlfn.XLOOKUP(G41,BK_CDN!$R$10:$R$84,BK_CDN!$AA$10:$AA$84,0),IF(_xlpm.RESULT=0,"",_xlpm.RESULT))*-1</f>
        <v>699</v>
      </c>
      <c r="N41" s="1228">
        <f>_xlfn.LET(_xlpm.RESULT,_xlfn.XLOOKUP(G41,BK_CDN!$R$10:$R$84,BK_CDN!$AG$10:$AG$84,0),IF(_xlpm.RESULT=0,"",_xlpm.RESULT))*-1</f>
        <v>5454.2000000000007</v>
      </c>
      <c r="O41" s="1228">
        <f ca="1">_xlfn.LET(_xlpm.RESULT,_xlfn.XLOOKUP(G41,BK_CDN!$R$10:$R$84,BK_CDN!$AE$10:$AE$84,0),IF(_xlpm.RESULT=0,"",_xlpm.RESULT))*-1</f>
        <v>4816.12</v>
      </c>
      <c r="P41" s="203">
        <f t="shared" ca="1" si="7"/>
        <v>638.08000000000084</v>
      </c>
    </row>
    <row r="42" spans="7:16">
      <c r="I42" s="1229"/>
      <c r="J42" s="1229"/>
      <c r="N42" s="1207"/>
      <c r="O42" s="1207"/>
      <c r="P42" s="1207"/>
    </row>
    <row r="43" spans="7:16">
      <c r="H43" s="734" t="s">
        <v>0</v>
      </c>
      <c r="I43" s="1208">
        <f ca="1">SUM(I27:I42)</f>
        <v>6</v>
      </c>
      <c r="J43" s="1208">
        <f ca="1">SUM(J27:J42)</f>
        <v>9</v>
      </c>
      <c r="K43" s="734">
        <f ca="1">SUM(K27:K42)</f>
        <v>622</v>
      </c>
      <c r="L43" s="734" t="s">
        <v>0</v>
      </c>
      <c r="M43" s="734" t="s">
        <v>0</v>
      </c>
      <c r="N43" s="1208">
        <f>SUM(N27:N42)</f>
        <v>109486.56000000001</v>
      </c>
      <c r="O43" s="1208">
        <f ca="1">SUM(O27:O42)</f>
        <v>109667.00999999998</v>
      </c>
      <c r="P43" s="1208">
        <f ca="1">SUM(P27:P42)</f>
        <v>-180.45000000000505</v>
      </c>
    </row>
    <row r="44" spans="7:16">
      <c r="N44" s="734"/>
      <c r="O44" s="734"/>
      <c r="P44" s="734"/>
    </row>
    <row r="46" spans="7:16">
      <c r="G46" s="730" t="s">
        <v>102</v>
      </c>
      <c r="H46" s="121" t="s">
        <v>0</v>
      </c>
      <c r="I46" s="731" t="s">
        <v>0</v>
      </c>
      <c r="J46" s="732" t="s">
        <v>0</v>
      </c>
      <c r="K46" s="121" t="s">
        <v>0</v>
      </c>
      <c r="L46" s="1205" t="s">
        <v>0</v>
      </c>
      <c r="M46" s="121" t="s">
        <v>0</v>
      </c>
      <c r="N46" s="733" t="s">
        <v>0</v>
      </c>
      <c r="O46" s="733" t="s">
        <v>0</v>
      </c>
      <c r="P46" s="1206" t="s">
        <v>0</v>
      </c>
    </row>
    <row r="47" spans="7:16" ht="14.25">
      <c r="G47" s="1225">
        <v>1</v>
      </c>
      <c r="H47" s="1224" t="str">
        <f>_xlfn.LET(_xlpm.RESULT,_xlfn.XLOOKUP(G47,BK_US!$R$10:$R$84,BK_US!$M$10:$M$84,0),IF(_xlpm.RESULT=0,"",_xlpm.RESULT))</f>
        <v>MSFT</v>
      </c>
      <c r="I47" s="1226" t="str">
        <f t="shared" ref="I47" ca="1" si="13">IF(H47="","",IF(P47&gt;0.01,1,IF(P47&lt;0.01," ")))</f>
        <v xml:space="preserve"> </v>
      </c>
      <c r="J47" s="1227">
        <f t="shared" ref="J47" ca="1" si="14">IF(H47="","",IF(P47&gt;0.01," ",IF(P47&lt;0.01,1)))</f>
        <v>1</v>
      </c>
      <c r="K47" s="1224">
        <f ca="1">_xlfn.LET(_xlpm.RESULT,_xlfn.XLOOKUP(G47,BK_US!$R$10:$R$84,BK_US!$AJ$10:$AJ$84,0),IF(_xlpm.RESULT=0,"",_xlpm.RESULT))</f>
        <v>173</v>
      </c>
      <c r="L47" s="724">
        <f t="shared" ref="L47" ca="1" si="15">IF(H47="","",(IF(M47&gt;0.01,(P47/O47),0)))*-1</f>
        <v>6.3687862947182872E-2</v>
      </c>
      <c r="M47" s="1224">
        <f>_xlfn.LET(_xlpm.RESULT,_xlfn.XLOOKUP(G47,BK_US!$R$10:$R$84,BK_US!$AA$10:$AA$84,0),IF(_xlpm.RESULT=0,"",_xlpm.RESULT))*-1</f>
        <v>25</v>
      </c>
      <c r="N47" s="1228">
        <f>_xlfn.LET(_xlpm.RESULT,_xlfn.XLOOKUP(G47,BK_US!$R$10:$R$84,BK_US!$AG$10:$AG$84,0),IF(_xlpm.RESULT=0,"",_xlpm.RESULT))*-1</f>
        <v>10401.219999999999</v>
      </c>
      <c r="O47" s="1228">
        <f ca="1">_xlfn.LET(_xlpm.RESULT,_xlfn.XLOOKUP(G47,BK_US!$R$10:$R$84,BK_US!$AE$10:$AE$84,0),IF(_xlpm.RESULT=0,"",_xlpm.RESULT))*-1</f>
        <v>11108.71</v>
      </c>
      <c r="P47" s="203">
        <f ca="1">IF(H47="","",(-N47+O47))*-1</f>
        <v>-707.48999999999978</v>
      </c>
    </row>
    <row r="48" spans="7:16" ht="14.25">
      <c r="G48" s="1225">
        <f>G47+1</f>
        <v>2</v>
      </c>
      <c r="H48" s="1224" t="str">
        <f>_xlfn.LET(_xlpm.RESULT,_xlfn.XLOOKUP(G48,BK_US!$R$10:$R$84,BK_US!$M$10:$M$84,0),IF(_xlpm.RESULT=0,"",_xlpm.RESULT))</f>
        <v>IREN</v>
      </c>
      <c r="I48" s="1226" t="str">
        <f t="shared" ref="I48:I52" ca="1" si="16">IF(H48="","",IF(P48&gt;0.01,1,IF(P48&lt;0.01," ")))</f>
        <v xml:space="preserve"> </v>
      </c>
      <c r="J48" s="1227">
        <f t="shared" ref="J48:J52" ca="1" si="17">IF(H48="","",IF(P48&gt;0.01," ",IF(P48&lt;0.01,1)))</f>
        <v>1</v>
      </c>
      <c r="K48" s="1224">
        <f ca="1">_xlfn.LET(_xlpm.RESULT,_xlfn.XLOOKUP(G48,BK_US!$R$10:$R$84,BK_US!$AJ$10:$AJ$84,0),IF(_xlpm.RESULT=0,"",_xlpm.RESULT))</f>
        <v>47</v>
      </c>
      <c r="L48" s="724">
        <f t="shared" ref="L48:L51" ca="1" si="18">IF(H48="","",(IF(M48&gt;0.01,(P48/O48),0)))*-1</f>
        <v>0.20656999837200227</v>
      </c>
      <c r="M48" s="1224">
        <f>_xlfn.LET(_xlpm.RESULT,_xlfn.XLOOKUP(G48,BK_US!$R$10:$R$84,BK_US!$AA$10:$AA$84,0),IF(_xlpm.RESULT=0,"",_xlpm.RESULT))*-1</f>
        <v>1000</v>
      </c>
      <c r="N48" s="1228">
        <f>_xlfn.LET(_xlpm.RESULT,_xlfn.XLOOKUP(G48,BK_US!$R$10:$R$84,BK_US!$AG$10:$AG$84,0),IF(_xlpm.RESULT=0,"",_xlpm.RESULT))*-1</f>
        <v>10039.73</v>
      </c>
      <c r="O48" s="1228">
        <f ca="1">_xlfn.LET(_xlpm.RESULT,_xlfn.XLOOKUP(G48,BK_US!$R$10:$R$84,BK_US!$AE$10:$AE$84,0),IF(_xlpm.RESULT=0,"",_xlpm.RESULT))*-1</f>
        <v>12653.58</v>
      </c>
      <c r="P48" s="203">
        <f t="shared" ref="P48:P51" ca="1" si="19">IF(H48="","",(-N48+O48))*-1</f>
        <v>-2613.8500000000004</v>
      </c>
    </row>
    <row r="49" spans="7:19" ht="14.25">
      <c r="G49" s="1225">
        <f>G48+1</f>
        <v>3</v>
      </c>
      <c r="H49" s="1224" t="str">
        <f>_xlfn.LET(_xlpm.RESULT,_xlfn.XLOOKUP(G49,BK_US!$R$10:$R$84,BK_US!$M$10:$M$84,0),IF(_xlpm.RESULT=0,"",_xlpm.RESULT))</f>
        <v>META</v>
      </c>
      <c r="I49" s="1226">
        <f t="shared" ca="1" si="16"/>
        <v>1</v>
      </c>
      <c r="J49" s="1227" t="str">
        <f t="shared" ca="1" si="17"/>
        <v xml:space="preserve"> </v>
      </c>
      <c r="K49" s="1224">
        <f ca="1">_xlfn.LET(_xlpm.RESULT,_xlfn.XLOOKUP(G49,BK_US!$R$10:$R$84,BK_US!$AJ$10:$AJ$84,0),IF(_xlpm.RESULT=0,"",_xlpm.RESULT))</f>
        <v>379</v>
      </c>
      <c r="L49" s="724">
        <f t="shared" ca="1" si="18"/>
        <v>-0.26495817408804984</v>
      </c>
      <c r="M49" s="1224">
        <f>_xlfn.LET(_xlpm.RESULT,_xlfn.XLOOKUP(G49,BK_US!$R$10:$R$84,BK_US!$AA$10:$AA$84,0),IF(_xlpm.RESULT=0,"",_xlpm.RESULT))*-1</f>
        <v>20</v>
      </c>
      <c r="N49" s="1228">
        <f>_xlfn.LET(_xlpm.RESULT,_xlfn.XLOOKUP(G49,BK_US!$R$10:$R$84,BK_US!$AG$10:$AG$84,0),IF(_xlpm.RESULT=0,"",_xlpm.RESULT))*-1</f>
        <v>12011.17</v>
      </c>
      <c r="O49" s="1228">
        <f ca="1">_xlfn.LET(_xlpm.RESULT,_xlfn.XLOOKUP(G49,BK_US!$R$10:$R$84,BK_US!$AE$10:$AE$84,0),IF(_xlpm.RESULT=0,"",_xlpm.RESULT))*-1</f>
        <v>9495.31</v>
      </c>
      <c r="P49" s="203">
        <f t="shared" ca="1" si="19"/>
        <v>2515.8600000000006</v>
      </c>
    </row>
    <row r="50" spans="7:19" ht="14.25">
      <c r="G50" s="1225">
        <f>G49+1</f>
        <v>4</v>
      </c>
      <c r="H50" s="1224" t="str">
        <f>_xlfn.LET(_xlpm.RESULT,_xlfn.XLOOKUP(G50,BK_US!$R$10:$R$84,BK_US!$M$10:$M$84,0),IF(_xlpm.RESULT=0,"",_xlpm.RESULT))</f>
        <v>CRWD</v>
      </c>
      <c r="I50" s="1226" t="str">
        <f t="shared" ca="1" si="16"/>
        <v xml:space="preserve"> </v>
      </c>
      <c r="J50" s="1227">
        <f t="shared" ca="1" si="17"/>
        <v>1</v>
      </c>
      <c r="K50" s="1224">
        <f ca="1">_xlfn.LET(_xlpm.RESULT,_xlfn.XLOOKUP(G50,BK_US!$R$10:$R$84,BK_US!$AJ$10:$AJ$84,0),IF(_xlpm.RESULT=0,"",_xlpm.RESULT))</f>
        <v>20</v>
      </c>
      <c r="L50" s="724">
        <f t="shared" ca="1" si="18"/>
        <v>6.5206434974824937E-2</v>
      </c>
      <c r="M50" s="1224">
        <f>_xlfn.LET(_xlpm.RESULT,_xlfn.XLOOKUP(G50,BK_US!$R$10:$R$84,BK_US!$AA$10:$AA$84,0),IF(_xlpm.RESULT=0,"",_xlpm.RESULT))*-1</f>
        <v>28</v>
      </c>
      <c r="N50" s="1228">
        <f>_xlfn.LET(_xlpm.RESULT,_xlfn.XLOOKUP(G50,BK_US!$R$10:$R$84,BK_US!$AG$10:$AG$84,0),IF(_xlpm.RESULT=0,"",_xlpm.RESULT))*-1</f>
        <v>9515.0300000000007</v>
      </c>
      <c r="O50" s="1228">
        <f ca="1">_xlfn.LET(_xlpm.RESULT,_xlfn.XLOOKUP(G50,BK_US!$R$10:$R$84,BK_US!$AE$10:$AE$84,0),IF(_xlpm.RESULT=0,"",_xlpm.RESULT))*-1</f>
        <v>10178.75</v>
      </c>
      <c r="P50" s="203">
        <f t="shared" ca="1" si="19"/>
        <v>-663.71999999999935</v>
      </c>
    </row>
    <row r="51" spans="7:19" ht="14.25">
      <c r="G51" s="1225">
        <f>G50+1</f>
        <v>5</v>
      </c>
      <c r="H51" s="1224" t="str">
        <f>_xlfn.LET(_xlpm.RESULT,_xlfn.XLOOKUP(G51,BK_US!$R$10:$R$84,BK_US!$M$10:$M$84,0),IF(_xlpm.RESULT=0,"",_xlpm.RESULT))</f>
        <v>CROX</v>
      </c>
      <c r="I51" s="1226" t="str">
        <f t="shared" ca="1" si="16"/>
        <v xml:space="preserve"> </v>
      </c>
      <c r="J51" s="1227">
        <f t="shared" ca="1" si="17"/>
        <v>1</v>
      </c>
      <c r="K51" s="1224">
        <f ca="1">_xlfn.LET(_xlpm.RESULT,_xlfn.XLOOKUP(G51,BK_US!$R$10:$R$84,BK_US!$AJ$10:$AJ$84,0),IF(_xlpm.RESULT=0,"",_xlpm.RESULT))</f>
        <v>21</v>
      </c>
      <c r="L51" s="724">
        <f t="shared" ca="1" si="18"/>
        <v>6.6913455258579391E-2</v>
      </c>
      <c r="M51" s="1224">
        <f>_xlfn.LET(_xlpm.RESULT,_xlfn.XLOOKUP(G51,BK_US!$R$10:$R$84,BK_US!$AA$10:$AA$84,0),IF(_xlpm.RESULT=0,"",_xlpm.RESULT))*-1</f>
        <v>100</v>
      </c>
      <c r="N51" s="1228">
        <f>_xlfn.LET(_xlpm.RESULT,_xlfn.XLOOKUP(G51,BK_US!$R$10:$R$84,BK_US!$AG$10:$AG$84,0),IF(_xlpm.RESULT=0,"",_xlpm.RESULT))*-1</f>
        <v>10543.71</v>
      </c>
      <c r="O51" s="1228">
        <f ca="1">_xlfn.LET(_xlpm.RESULT,_xlfn.XLOOKUP(G51,BK_US!$R$10:$R$84,BK_US!$AE$10:$AE$84,0),IF(_xlpm.RESULT=0,"",_xlpm.RESULT))*-1</f>
        <v>11299.82</v>
      </c>
      <c r="P51" s="203">
        <f t="shared" ca="1" si="19"/>
        <v>-756.11000000000058</v>
      </c>
    </row>
    <row r="52" spans="7:19" ht="14.25">
      <c r="G52" s="1225">
        <f>G51+1</f>
        <v>6</v>
      </c>
      <c r="H52" s="1224" t="str">
        <f>_xlfn.LET(_xlpm.RESULT,_xlfn.XLOOKUP(G52,BK_US!$R$10:$R$84,BK_US!$M$10:$M$84,0),IF(_xlpm.RESULT=0,"",_xlpm.RESULT))</f>
        <v/>
      </c>
      <c r="I52" s="1226" t="str">
        <f t="shared" si="16"/>
        <v/>
      </c>
      <c r="J52" s="1227" t="str">
        <f t="shared" si="17"/>
        <v/>
      </c>
      <c r="K52" s="1224" t="str">
        <f>_xlfn.LET(_xlpm.RESULT,_xlfn.XLOOKUP(G52,BK_US!$R$10:$R$84,BK_US!$AJ$10:$AJ$84,0),IF(_xlpm.RESULT=0,"",_xlpm.RESULT))</f>
        <v/>
      </c>
      <c r="L52" s="724" t="str">
        <f>IFERROR(IF(H52="","",(IF(M52&gt;0.01,(P52/O52),0))*-1),0)</f>
        <v/>
      </c>
      <c r="M52" s="1230">
        <f>_xlfn.LET(_xlpm.RESULT,_xlfn.XLOOKUP(H52,BK_US!$R$10:$R$84,BK_US!$AA$10:$AA$84,0),IF(_xlpm.RESULT=0,0,_xlpm.RESULT))*-1</f>
        <v>0</v>
      </c>
      <c r="N52" s="1230">
        <f>_xlfn.LET(_xlpm.RESULT,_xlfn.XLOOKUP(G52,BK_US!$R$10:$R$84,BK_US!$AG$10:$AG$84,0),IF(_xlpm.RESULT=0,0,_xlpm.RESULT))*-1</f>
        <v>0</v>
      </c>
      <c r="O52" s="1230">
        <f>_xlfn.LET(_xlpm.RESULT,_xlfn.XLOOKUP(G52,BK_US!$R$10:$R$84,BK_US!$AE$10:$AE$84,0),IF(_xlpm.RESULT=0,0,_xlpm.RESULT))*-1</f>
        <v>0</v>
      </c>
      <c r="P52" s="1209" t="str">
        <f>IFERROR(IF(H52="","",(-N52+O52)*-1),0)</f>
        <v/>
      </c>
      <c r="Q52" s="424"/>
    </row>
    <row r="53" spans="7:19">
      <c r="P53" s="203" t="str">
        <f>IF(H53="","",(-N53+O53))</f>
        <v/>
      </c>
    </row>
    <row r="54" spans="7:19" ht="19.5" customHeight="1">
      <c r="I54" s="1231">
        <f ca="1">SUM(I47:I53)</f>
        <v>1</v>
      </c>
      <c r="J54" s="1231">
        <f ca="1">SUM(J47:J53)</f>
        <v>4</v>
      </c>
      <c r="N54" s="1210">
        <f>SUM(N47:N53)</f>
        <v>52510.859999999993</v>
      </c>
      <c r="O54" s="1210">
        <f ca="1">SUM(O47:O53)</f>
        <v>54736.17</v>
      </c>
      <c r="P54" s="1210">
        <f ca="1">SUM(P47:P53)</f>
        <v>-2225.3099999999995</v>
      </c>
    </row>
    <row r="56" spans="7:19" ht="13.5" thickBot="1">
      <c r="L56" s="735">
        <f ca="1">(P56/O56)</f>
        <v>-1.4633293589576582E-2</v>
      </c>
      <c r="N56" s="1211">
        <f>N54+N43</f>
        <v>161997.42000000001</v>
      </c>
      <c r="O56" s="1211">
        <f ca="1">O54+O43</f>
        <v>164403.18</v>
      </c>
      <c r="P56" s="734">
        <f ca="1">P54+P43</f>
        <v>-2405.7600000000048</v>
      </c>
    </row>
    <row r="57" spans="7:19" ht="13.5" thickTop="1">
      <c r="S57" s="734"/>
    </row>
    <row r="58" spans="7:19">
      <c r="G58" s="362" t="s">
        <v>1474</v>
      </c>
      <c r="P58" s="734"/>
    </row>
    <row r="59" spans="7:19">
      <c r="G59" s="730" t="s">
        <v>1411</v>
      </c>
      <c r="O59" s="734">
        <f>P15*-1</f>
        <v>12350</v>
      </c>
    </row>
    <row r="60" spans="7:19">
      <c r="G60" s="730" t="s">
        <v>102</v>
      </c>
      <c r="O60" s="1208">
        <f>P16*-1</f>
        <v>6265</v>
      </c>
      <c r="P60" s="1208">
        <f>O60+O59</f>
        <v>18615</v>
      </c>
    </row>
    <row r="61" spans="7:19">
      <c r="P61" s="734"/>
    </row>
    <row r="62" spans="7:19" ht="13.5" thickBot="1">
      <c r="P62" s="1211">
        <f ca="1">O60+O59+P56</f>
        <v>16209.239999999994</v>
      </c>
    </row>
    <row r="63" spans="7:19" ht="13.5" thickTop="1">
      <c r="P63" s="734"/>
    </row>
    <row r="65" spans="13:13">
      <c r="M65" s="410" t="s">
        <v>0</v>
      </c>
    </row>
  </sheetData>
  <mergeCells count="4">
    <mergeCell ref="G23:K23"/>
    <mergeCell ref="L22:P22"/>
    <mergeCell ref="B9:D9"/>
    <mergeCell ref="G22:K22"/>
  </mergeCells>
  <hyperlinks>
    <hyperlink ref="A1" location="'TABLE OF CONTENTS'!A1" display="INDEX" xr:uid="{5FC5C903-5202-4CF6-84DA-3A810A4774B0}"/>
  </hyperlinks>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CED1B-226C-4136-8FFD-5A130064FADC}">
  <sheetPr codeName="Sheet20">
    <tabColor theme="5"/>
  </sheetPr>
  <dimension ref="A1:I24"/>
  <sheetViews>
    <sheetView workbookViewId="0"/>
  </sheetViews>
  <sheetFormatPr defaultColWidth="9.140625" defaultRowHeight="12.75"/>
  <cols>
    <col min="1" max="4" width="9.140625" style="362"/>
    <col min="5" max="5" width="2.5703125" style="362" customWidth="1"/>
    <col min="6" max="6" width="31.28515625" style="362" customWidth="1"/>
    <col min="7" max="7" width="13.42578125" style="362" customWidth="1"/>
    <col min="8" max="8" width="11.5703125" style="362" bestFit="1" customWidth="1"/>
    <col min="9" max="16384" width="9.140625" style="362"/>
  </cols>
  <sheetData>
    <row r="1" spans="1:9">
      <c r="A1" s="59" t="s">
        <v>1650</v>
      </c>
      <c r="C1" s="424" t="str">
        <f>F5</f>
        <v>ACCOUNTS RECEIVABLE</v>
      </c>
      <c r="H1" s="362" t="s">
        <v>0</v>
      </c>
    </row>
    <row r="2" spans="1:9">
      <c r="A2" s="362" t="s">
        <v>715</v>
      </c>
      <c r="B2" s="363"/>
      <c r="C2" s="363"/>
      <c r="D2" s="363"/>
      <c r="E2" s="363"/>
      <c r="F2" s="363"/>
      <c r="G2" s="363"/>
      <c r="H2" s="363"/>
      <c r="I2" s="401" t="str">
        <f>MID(A2,1,1)</f>
        <v>C</v>
      </c>
    </row>
    <row r="3" spans="1:9">
      <c r="B3" s="363"/>
      <c r="C3" s="363"/>
      <c r="D3" s="363"/>
      <c r="E3" s="363"/>
      <c r="F3" s="363"/>
      <c r="G3" s="363"/>
      <c r="H3" s="363"/>
    </row>
    <row r="4" spans="1:9" ht="15.75">
      <c r="B4" s="363"/>
      <c r="D4" s="402"/>
      <c r="E4" s="402"/>
      <c r="F4" s="403" t="str">
        <f>UPPER(COA!B2)</f>
        <v>ANONYMOUS COMPANY</v>
      </c>
      <c r="G4" s="403"/>
      <c r="H4" s="403"/>
    </row>
    <row r="5" spans="1:9" ht="15.75">
      <c r="B5" s="363"/>
      <c r="D5" s="404"/>
      <c r="E5" s="404"/>
      <c r="F5" s="405" t="str">
        <f>UPPER(_xlfn.XLOOKUP(A2,COA!G1:G174,COA!I1:I174))</f>
        <v>ACCOUNTS RECEIVABLE</v>
      </c>
      <c r="G5" s="405"/>
      <c r="H5" s="405"/>
      <c r="I5" s="404"/>
    </row>
    <row r="6" spans="1:9">
      <c r="B6" s="363"/>
      <c r="D6" s="406"/>
      <c r="E6" s="406"/>
      <c r="F6" s="407" t="str">
        <f>"FOR THE YEAR ENDED "&amp;UPPER(TEXT(COA!$B$4,"MMMM DD, YYYY"))</f>
        <v>FOR THE YEAR ENDED DECEMBER 31, 2025</v>
      </c>
      <c r="G6" s="407"/>
      <c r="H6" s="407"/>
    </row>
    <row r="7" spans="1:9">
      <c r="B7" s="363"/>
      <c r="C7" s="363"/>
      <c r="D7" s="363"/>
      <c r="E7" s="363"/>
      <c r="F7" s="363"/>
      <c r="G7" s="363"/>
      <c r="H7" s="363"/>
    </row>
    <row r="8" spans="1:9">
      <c r="B8" s="363"/>
      <c r="C8" s="364"/>
      <c r="D8" s="364"/>
      <c r="E8" s="365"/>
      <c r="F8" s="365"/>
      <c r="G8" s="364"/>
      <c r="H8" s="364"/>
    </row>
    <row r="9" spans="1:9" ht="13.5" thickBot="1">
      <c r="B9" s="1293" t="s">
        <v>357</v>
      </c>
      <c r="C9" s="1293"/>
      <c r="D9" s="1293"/>
      <c r="E9" s="366" t="s">
        <v>0</v>
      </c>
      <c r="F9" s="367" t="s">
        <v>356</v>
      </c>
      <c r="G9" s="368">
        <f>YEAR(COA!B4)</f>
        <v>2025</v>
      </c>
      <c r="H9" s="368">
        <f>G9-1</f>
        <v>2024</v>
      </c>
    </row>
    <row r="10" spans="1:9">
      <c r="B10" s="408" t="s">
        <v>358</v>
      </c>
      <c r="C10" s="409" t="s">
        <v>359</v>
      </c>
      <c r="D10" s="409" t="s">
        <v>360</v>
      </c>
      <c r="F10" s="369"/>
      <c r="G10" s="370"/>
      <c r="H10" s="370"/>
    </row>
    <row r="11" spans="1:9">
      <c r="B11" s="410">
        <f>IFERROR(MATCH(D11,M_COA[LSheetID],0),"")</f>
        <v>11</v>
      </c>
      <c r="C11" s="371">
        <f>1</f>
        <v>1</v>
      </c>
      <c r="D11" s="371" t="str">
        <f>_xlfn.CONCAT($I$2,C11)</f>
        <v>C1</v>
      </c>
      <c r="F11" s="398" t="str" cm="1">
        <f t="array" ref="F11">IFERROR(INDEX(M_COA[ACCOUNT],B11),0)</f>
        <v>1140 Accounts Receivable</v>
      </c>
      <c r="G11" s="398" cm="1">
        <f t="array" ref="G11">IFERROR(INDEX(M_COA[CY],B11),0)</f>
        <v>8572.5</v>
      </c>
      <c r="H11" s="398" cm="1">
        <f t="array" ref="H11">IFERROR(INDEX(M_COA[PY1],B11),0)</f>
        <v>0</v>
      </c>
    </row>
    <row r="12" spans="1:9">
      <c r="B12" s="410">
        <f>IFERROR(MATCH(D12,M_COA[LSheetID],0),"")</f>
        <v>12</v>
      </c>
      <c r="C12" s="371">
        <f t="shared" ref="C12:C15" si="0">C11+1</f>
        <v>2</v>
      </c>
      <c r="D12" s="371" t="str">
        <f t="shared" ref="D12:D15" si="1">_xlfn.CONCAT($I$2,C12)</f>
        <v>C2</v>
      </c>
      <c r="F12" s="398" t="str" cm="1">
        <f t="array" ref="F12">IFERROR(INDEX(M_COA[ACCOUNT],B12),0)</f>
        <v>1141 Miscellaneous receivables</v>
      </c>
      <c r="G12" s="398" cm="1">
        <f t="array" ref="G12">IFERROR(INDEX(M_COA[CY],B12),0)</f>
        <v>44826.559999999998</v>
      </c>
      <c r="H12" s="398" cm="1">
        <f t="array" ref="H12">IFERROR(INDEX(M_COA[PY1],B12),0)</f>
        <v>14544.09</v>
      </c>
    </row>
    <row r="13" spans="1:9">
      <c r="B13" s="410" t="str">
        <f>IFERROR(MATCH(D13,M_COA[LSheetID],0),"")</f>
        <v/>
      </c>
      <c r="C13" s="371">
        <f t="shared" si="0"/>
        <v>3</v>
      </c>
      <c r="D13" s="371" t="str">
        <f t="shared" si="1"/>
        <v>C3</v>
      </c>
      <c r="F13" s="398" cm="1">
        <f t="array" ref="F13">IFERROR(INDEX(M_COA[ACCOUNT],B13),0)</f>
        <v>0</v>
      </c>
      <c r="G13" s="398" cm="1">
        <f t="array" ref="G13">IFERROR(INDEX(M_COA[CY],B13),0)</f>
        <v>0</v>
      </c>
      <c r="H13" s="398" cm="1">
        <f t="array" ref="H13">IFERROR(INDEX(M_COA[PY1],B13),0)</f>
        <v>0</v>
      </c>
    </row>
    <row r="14" spans="1:9">
      <c r="B14" s="410" t="str">
        <f>IFERROR(MATCH(D14,M_COA[LSheetID],0),"")</f>
        <v/>
      </c>
      <c r="C14" s="371">
        <f t="shared" si="0"/>
        <v>4</v>
      </c>
      <c r="D14" s="371" t="str">
        <f t="shared" si="1"/>
        <v>C4</v>
      </c>
      <c r="F14" s="398" cm="1">
        <f t="array" ref="F14">IFERROR(INDEX(M_COA[ACCOUNT],B14),0)</f>
        <v>0</v>
      </c>
      <c r="G14" s="398" cm="1">
        <f t="array" ref="G14">IFERROR(INDEX(M_COA[CY],B14),0)</f>
        <v>0</v>
      </c>
      <c r="H14" s="398" cm="1">
        <f t="array" ref="H14">IFERROR(INDEX(M_COA[PY1],B14),0)</f>
        <v>0</v>
      </c>
    </row>
    <row r="15" spans="1:9">
      <c r="B15" s="410" t="str">
        <f>IFERROR(MATCH(D15,M_COA[LSheetID],0),"")</f>
        <v/>
      </c>
      <c r="C15" s="371">
        <f t="shared" si="0"/>
        <v>5</v>
      </c>
      <c r="D15" s="371" t="str">
        <f t="shared" si="1"/>
        <v>C5</v>
      </c>
      <c r="F15" s="398" cm="1">
        <f t="array" ref="F15">IFERROR(INDEX(M_COA[ACCOUNT],B15),0)</f>
        <v>0</v>
      </c>
      <c r="G15" s="417" cm="1">
        <f t="array" ref="G15">IFERROR(INDEX(M_COA[CY],B15),0)</f>
        <v>0</v>
      </c>
      <c r="H15" s="417" cm="1">
        <f t="array" ref="H15">IFERROR(INDEX(M_COA[PY1],B15),0)</f>
        <v>0</v>
      </c>
    </row>
    <row r="16" spans="1:9">
      <c r="B16" s="410" t="str">
        <f>IFERROR(MATCH(D16,M_COA[LSheetID],0),"")</f>
        <v/>
      </c>
      <c r="C16" s="371"/>
      <c r="D16" s="371"/>
      <c r="F16" s="398"/>
      <c r="G16" s="398"/>
      <c r="H16" s="398"/>
    </row>
    <row r="17" spans="2:9" ht="13.5" thickBot="1">
      <c r="B17" s="363"/>
      <c r="C17" s="371"/>
      <c r="D17" s="371"/>
      <c r="E17" s="371"/>
      <c r="F17" s="372"/>
      <c r="G17" s="411">
        <f>SUM(G11:G15)</f>
        <v>53399.06</v>
      </c>
      <c r="H17" s="411">
        <f>SUM(H11:H15)</f>
        <v>14544.09</v>
      </c>
    </row>
    <row r="18" spans="2:9" ht="13.5" thickTop="1">
      <c r="B18" s="363"/>
      <c r="C18" s="373"/>
      <c r="D18" s="373"/>
      <c r="E18" s="373"/>
      <c r="F18" s="373"/>
      <c r="G18" s="374"/>
      <c r="H18" s="374"/>
    </row>
    <row r="19" spans="2:9">
      <c r="G19" s="412" t="s">
        <v>361</v>
      </c>
    </row>
    <row r="20" spans="2:9">
      <c r="F20" s="233" t="s">
        <v>0</v>
      </c>
    </row>
    <row r="21" spans="2:9">
      <c r="G21" s="424"/>
      <c r="H21" s="424"/>
      <c r="I21" s="424"/>
    </row>
    <row r="22" spans="2:9">
      <c r="G22" s="424"/>
      <c r="H22" s="424"/>
      <c r="I22" s="424"/>
    </row>
    <row r="23" spans="2:9">
      <c r="G23" s="424"/>
      <c r="H23" s="424"/>
      <c r="I23" s="424"/>
    </row>
    <row r="24" spans="2:9">
      <c r="G24" s="424"/>
      <c r="H24" s="424"/>
      <c r="I24" s="424"/>
    </row>
  </sheetData>
  <mergeCells count="1">
    <mergeCell ref="B9:D9"/>
  </mergeCells>
  <hyperlinks>
    <hyperlink ref="A1" location="'TABLE OF CONTENTS'!A1" display="INDEX" xr:uid="{EC410AE3-A338-4EC9-8A4F-9C82BFF38819}"/>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C8F83-233F-4A10-A218-90F7FDE97CD5}">
  <sheetPr codeName="Sheet2">
    <tabColor theme="5"/>
  </sheetPr>
  <dimension ref="A1:M39"/>
  <sheetViews>
    <sheetView workbookViewId="0"/>
  </sheetViews>
  <sheetFormatPr defaultRowHeight="12.75"/>
  <cols>
    <col min="4" max="4" width="12.85546875" customWidth="1"/>
    <col min="5" max="5" width="23.28515625" customWidth="1"/>
    <col min="6" max="7" width="16.5703125" customWidth="1"/>
    <col min="8" max="8" width="37" customWidth="1"/>
    <col min="9" max="9" width="65" customWidth="1"/>
    <col min="10" max="10" width="11.85546875" customWidth="1"/>
    <col min="11" max="11" width="16.7109375" customWidth="1"/>
  </cols>
  <sheetData>
    <row r="1" spans="1:13">
      <c r="A1" s="59" t="s">
        <v>1650</v>
      </c>
      <c r="B1" s="363"/>
      <c r="C1" s="363" t="s">
        <v>1066</v>
      </c>
      <c r="D1" s="363"/>
      <c r="E1" s="363"/>
      <c r="F1" s="362"/>
      <c r="G1" s="362"/>
      <c r="H1" s="362"/>
      <c r="I1" s="362"/>
      <c r="J1" s="362"/>
      <c r="K1" s="362"/>
      <c r="L1" s="401" t="s">
        <v>715</v>
      </c>
      <c r="M1" s="362"/>
    </row>
    <row r="2" spans="1:13">
      <c r="B2" s="363"/>
      <c r="C2" s="363"/>
      <c r="D2" s="363"/>
      <c r="E2" s="363"/>
      <c r="F2" s="363"/>
      <c r="G2" s="363"/>
      <c r="H2" s="363"/>
      <c r="I2" s="363"/>
      <c r="J2" s="363"/>
      <c r="K2" s="363"/>
      <c r="L2" s="362"/>
      <c r="M2" s="362"/>
    </row>
    <row r="3" spans="1:13">
      <c r="F3" s="363"/>
      <c r="G3" s="363"/>
      <c r="H3" s="363"/>
      <c r="I3" s="363"/>
      <c r="J3" s="363"/>
      <c r="K3" s="363"/>
      <c r="L3" s="362"/>
      <c r="M3" s="362"/>
    </row>
    <row r="4" spans="1:13" ht="15.75">
      <c r="B4" s="363"/>
      <c r="C4" s="362"/>
      <c r="D4" s="402"/>
      <c r="E4" s="402"/>
      <c r="F4" s="402"/>
      <c r="G4" s="402"/>
      <c r="H4" s="402"/>
      <c r="I4" s="403" t="str">
        <f>UPPER(COA!B2)</f>
        <v>ANONYMOUS COMPANY</v>
      </c>
      <c r="J4" s="403"/>
      <c r="K4" s="403"/>
      <c r="L4" s="362"/>
      <c r="M4" s="362"/>
    </row>
    <row r="5" spans="1:13" ht="15.75">
      <c r="B5" s="363"/>
      <c r="C5" s="362"/>
      <c r="D5" s="404"/>
      <c r="E5" s="404"/>
      <c r="F5" s="404"/>
      <c r="G5" s="404"/>
      <c r="H5" s="404"/>
      <c r="I5" s="405" t="str">
        <f>UPPER(_xlfn.XLOOKUP(D11,COA!G1:G174,COA!I1:I174))</f>
        <v>ACCOUNTS RECEIVABLE</v>
      </c>
      <c r="J5" s="405"/>
      <c r="K5" s="405"/>
      <c r="L5" s="362"/>
      <c r="M5" s="362"/>
    </row>
    <row r="6" spans="1:13">
      <c r="B6" s="363"/>
      <c r="C6" s="362"/>
      <c r="D6" s="406"/>
      <c r="E6" s="406"/>
      <c r="F6" s="406"/>
      <c r="G6" s="406"/>
      <c r="H6" s="406"/>
      <c r="I6" s="407" t="str">
        <f>"FOR THE YEAR ENDED "&amp;UPPER(TEXT(COA!$B$4,"MMMM DD, YYYY"))</f>
        <v>FOR THE YEAR ENDED DECEMBER 31, 2025</v>
      </c>
      <c r="J6" s="407"/>
      <c r="K6" s="407"/>
      <c r="L6" s="362"/>
      <c r="M6" s="362"/>
    </row>
    <row r="7" spans="1:13">
      <c r="B7" s="363"/>
      <c r="C7" s="363"/>
      <c r="D7" s="363"/>
      <c r="E7" s="363"/>
      <c r="F7" s="363"/>
      <c r="G7" s="363"/>
      <c r="H7" s="363"/>
      <c r="I7" s="363"/>
      <c r="J7" s="363"/>
      <c r="K7" s="363"/>
      <c r="L7" s="362"/>
      <c r="M7" s="362"/>
    </row>
    <row r="8" spans="1:13">
      <c r="B8" s="363"/>
      <c r="C8" s="364"/>
      <c r="D8" s="364"/>
      <c r="E8" s="364"/>
      <c r="F8" s="365"/>
      <c r="G8" s="365"/>
      <c r="H8" s="365"/>
      <c r="I8" s="365"/>
      <c r="J8" s="364"/>
      <c r="K8" s="364"/>
      <c r="L8" s="362"/>
      <c r="M8" s="362"/>
    </row>
    <row r="9" spans="1:13" ht="13.5" thickBot="1">
      <c r="B9" s="1293" t="s">
        <v>357</v>
      </c>
      <c r="C9" s="1293"/>
      <c r="D9" s="1293"/>
      <c r="E9" s="570" t="s">
        <v>356</v>
      </c>
      <c r="F9" s="571" t="s">
        <v>0</v>
      </c>
      <c r="G9" s="571"/>
      <c r="H9" s="571"/>
      <c r="I9" s="572"/>
      <c r="J9" s="573">
        <f>YEAR(COA!B4)</f>
        <v>2025</v>
      </c>
      <c r="K9" s="368">
        <f>J9-1</f>
        <v>2024</v>
      </c>
      <c r="L9" s="362"/>
      <c r="M9" s="362"/>
    </row>
    <row r="10" spans="1:13" ht="13.5" thickTop="1">
      <c r="B10" s="408" t="s">
        <v>358</v>
      </c>
      <c r="C10" s="409" t="s">
        <v>359</v>
      </c>
      <c r="D10" s="409" t="s">
        <v>360</v>
      </c>
      <c r="E10" s="369"/>
      <c r="F10" s="362"/>
      <c r="G10" s="362"/>
      <c r="H10" s="362"/>
      <c r="J10" s="370"/>
      <c r="K10" s="370"/>
      <c r="L10" s="362"/>
      <c r="M10" s="362"/>
    </row>
    <row r="11" spans="1:13">
      <c r="B11" s="410">
        <f>IFERROR(MATCH(D11,M_COA[LSheetID],0),"")</f>
        <v>11</v>
      </c>
      <c r="C11" s="371">
        <f>1</f>
        <v>1</v>
      </c>
      <c r="D11" s="371" t="s">
        <v>715</v>
      </c>
      <c r="E11" s="398" t="str" cm="1">
        <f t="array" ref="E11">IFERROR(INDEX(M_COA[ACCOUNT],B11),0)</f>
        <v>1140 Accounts Receivable</v>
      </c>
      <c r="F11" s="362"/>
      <c r="G11" s="362"/>
      <c r="H11" s="362"/>
      <c r="J11" s="398" cm="1">
        <f t="array" ref="J11">IFERROR(INDEX(M_COA[CY],B11),0)</f>
        <v>8572.5</v>
      </c>
      <c r="K11" s="398" cm="1">
        <f t="array" ref="K11">IFERROR(INDEX(M_COA[PY1],B11),0)</f>
        <v>0</v>
      </c>
      <c r="L11" s="362"/>
      <c r="M11" s="362"/>
    </row>
    <row r="12" spans="1:13">
      <c r="B12" s="410"/>
      <c r="C12" s="371"/>
      <c r="D12" s="371"/>
      <c r="E12" s="398"/>
      <c r="F12" s="362"/>
      <c r="G12" s="362"/>
      <c r="H12" s="362"/>
      <c r="J12" s="417"/>
      <c r="K12" s="417"/>
      <c r="L12" s="362"/>
      <c r="M12" s="362"/>
    </row>
    <row r="13" spans="1:13">
      <c r="B13" s="410" t="str">
        <f>IFERROR(MATCH(D13,M_COA[LSheetID],0),"")</f>
        <v/>
      </c>
      <c r="C13" s="371"/>
      <c r="D13" s="371"/>
      <c r="E13" s="371"/>
      <c r="F13" s="362"/>
      <c r="G13" s="362"/>
      <c r="H13" s="362"/>
      <c r="I13" s="398"/>
      <c r="J13" s="398"/>
      <c r="K13" s="398"/>
      <c r="L13" s="362"/>
      <c r="M13" s="362"/>
    </row>
    <row r="14" spans="1:13" ht="13.5" thickBot="1">
      <c r="B14" s="363"/>
      <c r="C14" s="371"/>
      <c r="D14" s="371"/>
      <c r="E14" s="574"/>
      <c r="F14" s="574"/>
      <c r="G14" s="574"/>
      <c r="H14" s="574"/>
      <c r="I14" s="575"/>
      <c r="J14" s="576">
        <f>SUM(J11:J11)</f>
        <v>8572.5</v>
      </c>
      <c r="K14" s="576">
        <f>SUM(K11:K11)</f>
        <v>0</v>
      </c>
      <c r="L14" s="362"/>
      <c r="M14" s="362"/>
    </row>
    <row r="15" spans="1:13" ht="13.5" thickTop="1">
      <c r="B15" s="363"/>
      <c r="C15" s="373"/>
      <c r="D15" s="373"/>
      <c r="E15" s="373"/>
      <c r="F15" s="373"/>
      <c r="G15" s="373"/>
      <c r="H15" s="373"/>
      <c r="I15" s="373"/>
      <c r="J15" s="374"/>
      <c r="K15" s="374"/>
      <c r="L15" s="362"/>
      <c r="M15" s="362"/>
    </row>
    <row r="16" spans="1:13">
      <c r="B16" s="362"/>
      <c r="C16" s="558"/>
      <c r="D16" s="559"/>
      <c r="E16" s="559"/>
      <c r="F16" s="560"/>
      <c r="G16" s="560"/>
      <c r="H16" s="560"/>
      <c r="I16" s="561"/>
      <c r="J16" s="362"/>
    </row>
    <row r="17" spans="5:11">
      <c r="E17" s="562" t="s">
        <v>1398</v>
      </c>
      <c r="F17" s="563" t="s">
        <v>8</v>
      </c>
      <c r="G17" s="563" t="s">
        <v>7</v>
      </c>
      <c r="H17" s="563" t="s">
        <v>1396</v>
      </c>
      <c r="I17" s="563" t="s">
        <v>719</v>
      </c>
      <c r="J17" s="564" t="s">
        <v>13</v>
      </c>
    </row>
    <row r="18" spans="5:11" ht="15" customHeight="1">
      <c r="E18" s="362">
        <v>1</v>
      </c>
      <c r="F18" s="362" t="str">
        <f>IFERROR(INDEX(SJ!$C$9:$C$35,MATCH(E18,SJ!$A$9:$A$35,0)),"")</f>
        <v>SJ-251183</v>
      </c>
      <c r="G18" s="565">
        <f>IFERROR(INDEX(SJ!$G$9:$G$35,MATCH(E18,SJ!$A$9:$A$35,0)),"")</f>
        <v>45777</v>
      </c>
      <c r="H18" s="362" t="str">
        <f>IFERROR(INDEX(SJ!$F$9:$F$35,MATCH(E18,SJ!$A$9:$A$35,0)),"")</f>
        <v>BIG BAD WOLF INC</v>
      </c>
      <c r="I18" s="565" t="str">
        <f>IFERROR(INDEX(SJ!$H$9:$H$35,MATCH(E18,SJ!$A9:$A$35,0)),"")</f>
        <v xml:space="preserve">
Description of Services:
For the years ended October 31, 2022, October 31, 2023 and October 31, 2024
1. Set up and preparation of books of original entry from incomplete records:
   With reference to bank statements and deposits
   With input from management
2. Set up of company's general ledger and posting the books of original entry, and 
3. Compiling Financial Statements for the years than ended
</v>
      </c>
      <c r="J18" s="566">
        <f>IFERROR(INDEX(SJ!$P$9:$P$35,MATCH(E18,SJ!$A$9:$A$35,0)),"")</f>
        <v>7250</v>
      </c>
    </row>
    <row r="19" spans="5:11" ht="15" customHeight="1">
      <c r="E19" s="362">
        <f>E18+1</f>
        <v>2</v>
      </c>
      <c r="F19" s="362" t="str">
        <f>IFERROR(INDEX(SJ!$C$9:$C$35,MATCH(E19,SJ!$A$9:$A$35,0)),"")</f>
        <v>SJ-251184</v>
      </c>
      <c r="G19" s="565">
        <f>IFERROR(INDEX(SJ!$G$9:$G$35,MATCH(E19,SJ!$A$9:$A$35,0)),"")</f>
        <v>45752</v>
      </c>
      <c r="H19" s="362" t="str">
        <f>IFERROR(INDEX(SJ!$F$9:$F$35,MATCH(E19,SJ!$A$9:$A$35,0)),"")</f>
        <v>OLEANNA'S LITTLE HELPER INC</v>
      </c>
      <c r="I19" s="565" t="str">
        <f>IFERROR(INDEX(SJ!$H$9:$H$35,MATCH(E19,SJ!$A10:$A$35,0)),"")</f>
        <v xml:space="preserve">
Description of Services:
For the years ended October 31, 2022, October 31, 2023 and October 31, 2024
1. Set up and preparation of books of original entry from incomplete records:
   With reference to bank statements and deposits
   With input from management
2. Set up of company's general ledger and posting the books of original entry, and 
3. Compiling Financial Statements for the years than ended
</v>
      </c>
      <c r="J19" s="566">
        <f>IFERROR(INDEX(SJ!$P$9:$P$35,MATCH(E19,SJ!$A$9:$A$35,0)),"")</f>
        <v>1322.5</v>
      </c>
    </row>
    <row r="20" spans="5:11" ht="15" customHeight="1">
      <c r="E20" s="362">
        <f t="shared" ref="E20:E31" si="0">E19+1</f>
        <v>3</v>
      </c>
      <c r="F20" s="565" t="str">
        <f>IFERROR(INDEX(SJ!$G$9:$G$35,MATCH(#REF!,SJ!$A$9:$A$35,0)),"")</f>
        <v/>
      </c>
      <c r="G20" s="565" t="str">
        <f>IFERROR(INDEX(SJ!$G$9:$G$35,MATCH(E20,SJ!$A$9:$A$35,0)),"")</f>
        <v/>
      </c>
      <c r="H20" s="362" t="str">
        <f>IFERROR(INDEX(SJ!$F$9:$F$35,MATCH(#REF!,SJ!$A$9:$A$35,0)),"")</f>
        <v/>
      </c>
      <c r="I20" s="565" t="str">
        <f>IFERROR(INDEX(SJ!$H$9:$H$35,MATCH(#REF!,SJ!$A11:$A$35,0)),"")</f>
        <v/>
      </c>
      <c r="J20" s="566" t="str">
        <f>IFERROR(INDEX(SJ!$P$9:$P$35,MATCH(#REF!,SJ!$A$9:$A$35,0)),"")</f>
        <v/>
      </c>
    </row>
    <row r="21" spans="5:11" ht="15" customHeight="1">
      <c r="E21" s="362">
        <f t="shared" si="0"/>
        <v>4</v>
      </c>
      <c r="F21" s="565" t="str">
        <f>IFERROR(INDEX(SJ!$G$9:$G$35,MATCH(#REF!,SJ!$A$9:$A$35,0)),"")</f>
        <v/>
      </c>
      <c r="G21" s="565" t="str">
        <f>IFERROR(INDEX(SJ!$G$9:$G$35,MATCH(E21,SJ!$A$9:$A$35,0)),"")</f>
        <v/>
      </c>
      <c r="H21" s="362" t="str">
        <f>IFERROR(INDEX(SJ!$F$9:$F$35,MATCH(#REF!,SJ!$A$9:$A$35,0)),"")</f>
        <v/>
      </c>
      <c r="I21" s="565" t="str">
        <f>IFERROR(INDEX(SJ!$H$9:$H$35,MATCH(#REF!,SJ!$A12:$A$35,0)),"")</f>
        <v/>
      </c>
      <c r="J21" s="566" t="str">
        <f>IFERROR(INDEX(SJ!$P$9:$P$35,MATCH(#REF!,SJ!$A$9:$A$35,0)),"")</f>
        <v/>
      </c>
    </row>
    <row r="22" spans="5:11" ht="15" customHeight="1">
      <c r="E22" s="362">
        <f t="shared" si="0"/>
        <v>5</v>
      </c>
      <c r="F22" s="362" t="str">
        <f>IFERROR(INDEX(SJ!$F$9:$F$35,MATCH(#REF!,SJ!$A$9:$A$35,0)),"")</f>
        <v/>
      </c>
      <c r="G22" s="565" t="str">
        <f>IFERROR(INDEX(SJ!$G$9:$G$35,MATCH(E22,SJ!$A$9:$A$35,0)),"")</f>
        <v/>
      </c>
      <c r="H22" s="362" t="str">
        <f>IFERROR(INDEX(SJ!$F$9:$F$35,MATCH(#REF!,SJ!$A$9:$A$35,0)),"")</f>
        <v/>
      </c>
      <c r="I22" s="565" t="str">
        <f>IFERROR(INDEX(SJ!$H$9:$H$35,MATCH(#REF!,SJ!$A26:$A$35,0)),"")</f>
        <v/>
      </c>
      <c r="J22" s="566" t="str">
        <f>IFERROR(INDEX(SJ!$Q$9:$Q$35,MATCH(#REF!,SJ!$C$9:$C$35,0)),"")</f>
        <v/>
      </c>
    </row>
    <row r="23" spans="5:11" ht="15" customHeight="1">
      <c r="E23" s="362">
        <f t="shared" si="0"/>
        <v>6</v>
      </c>
      <c r="F23" s="362" t="str">
        <f>IFERROR(INDEX(SJ!$F$9:$F$35,MATCH(#REF!,SJ!$A$9:$A$35,0)),"")</f>
        <v/>
      </c>
      <c r="G23" s="565" t="str">
        <f>IFERROR(INDEX(SJ!$G$9:$G$35,MATCH(E23,SJ!$A$9:$A$35,0)),"")</f>
        <v/>
      </c>
      <c r="H23" s="362" t="str">
        <f>IFERROR(INDEX(SJ!$F$9:$F$35,MATCH(#REF!,SJ!$A$9:$A$35,0)),"")</f>
        <v/>
      </c>
      <c r="I23" s="565" t="str">
        <f>IFERROR(INDEX(SJ!$H$9:$H$35,MATCH(#REF!,SJ!$A27:$A$35,0)),"")</f>
        <v/>
      </c>
      <c r="J23" s="566" t="str">
        <f>IFERROR(INDEX(SJ!$Q$9:$Q$35,MATCH(#REF!,SJ!$C$9:$C$35,0)),"")</f>
        <v/>
      </c>
    </row>
    <row r="24" spans="5:11" ht="15" customHeight="1">
      <c r="E24" s="362">
        <f t="shared" si="0"/>
        <v>7</v>
      </c>
      <c r="F24" s="362" t="str">
        <f>IFERROR(INDEX(SJ!$F$9:$F$35,MATCH(#REF!,SJ!$A$9:$A$35,0)),"")</f>
        <v/>
      </c>
      <c r="G24" s="565" t="str">
        <f>IFERROR(INDEX(SJ!$G$9:$G$35,MATCH(E24,SJ!$A$9:$A$35,0)),"")</f>
        <v/>
      </c>
      <c r="H24" s="362" t="str">
        <f>IFERROR(INDEX(SJ!$F$9:$F$35,MATCH(#REF!,SJ!$A$9:$A$35,0)),"")</f>
        <v/>
      </c>
      <c r="I24" s="565" t="str">
        <f>IFERROR(INDEX(SJ!$H$9:$H$35,MATCH(#REF!,SJ!$A28:$A$35,0)),"")</f>
        <v/>
      </c>
      <c r="J24" s="566" t="str">
        <f>IFERROR(INDEX(SJ!$Q$9:$Q$35,MATCH(#REF!,SJ!$C$9:$C$35,0)),"")</f>
        <v/>
      </c>
    </row>
    <row r="25" spans="5:11" ht="15" customHeight="1">
      <c r="E25" s="362">
        <f t="shared" si="0"/>
        <v>8</v>
      </c>
      <c r="F25" s="362" t="str">
        <f>IFERROR(INDEX(SJ!$F$9:$F$35,MATCH(#REF!,SJ!$A$9:$A$35,0)),"")</f>
        <v/>
      </c>
      <c r="G25" s="565" t="str">
        <f>IFERROR(INDEX(SJ!$G$9:$G$35,MATCH(E25,SJ!$A$9:$A$35,0)),"")</f>
        <v/>
      </c>
      <c r="H25" s="362" t="str">
        <f>IFERROR(INDEX(SJ!$F$9:$F$35,MATCH(#REF!,SJ!$A$9:$A$35,0)),"")</f>
        <v/>
      </c>
      <c r="I25" s="565" t="str">
        <f>IFERROR(INDEX(SJ!$H$9:$H$35,MATCH(#REF!,SJ!$A29:$A$35,0)),"")</f>
        <v/>
      </c>
      <c r="J25" s="566" t="str">
        <f>IFERROR(INDEX(SJ!$Q$9:$Q$35,MATCH(#REF!,SJ!$C$9:$C$35,0)),"")</f>
        <v/>
      </c>
    </row>
    <row r="26" spans="5:11" ht="15" customHeight="1">
      <c r="E26" s="362">
        <f t="shared" si="0"/>
        <v>9</v>
      </c>
      <c r="F26" s="362" t="str">
        <f>IFERROR(INDEX(SJ!$F$9:$F$35,MATCH(#REF!,SJ!$A$9:$A$35,0)),"")</f>
        <v/>
      </c>
      <c r="G26" s="565" t="str">
        <f>IFERROR(INDEX(SJ!$G$9:$G$35,MATCH(E26,SJ!$A$9:$A$35,0)),"")</f>
        <v/>
      </c>
      <c r="H26" s="362" t="str">
        <f>IFERROR(INDEX(SJ!$F$9:$F$35,MATCH(#REF!,SJ!$A$9:$A$35,0)),"")</f>
        <v/>
      </c>
      <c r="I26" s="565" t="str">
        <f>IFERROR(INDEX(SJ!$H$9:$H$35,MATCH(#REF!,SJ!$A30:$A$35,0)),"")</f>
        <v/>
      </c>
      <c r="J26" s="566" t="str">
        <f>IFERROR(INDEX(SJ!$Q$9:$Q$35,MATCH(#REF!,SJ!$C$9:$C$35,0)),"")</f>
        <v/>
      </c>
    </row>
    <row r="27" spans="5:11" ht="15" customHeight="1">
      <c r="E27" s="362">
        <f t="shared" si="0"/>
        <v>10</v>
      </c>
      <c r="F27" s="362" t="str">
        <f>IFERROR(INDEX(SJ!$F$9:$F$35,MATCH(#REF!,SJ!$A$9:$A$35,0)),"")</f>
        <v/>
      </c>
      <c r="G27" s="565" t="str">
        <f>IFERROR(INDEX(SJ!$G$9:$G$35,MATCH(E27,SJ!$A$9:$A$35,0)),"")</f>
        <v/>
      </c>
      <c r="H27" s="362" t="str">
        <f>IFERROR(INDEX(SJ!$F$9:$F$35,MATCH(#REF!,SJ!$A$9:$A$35,0)),"")</f>
        <v/>
      </c>
      <c r="I27" s="565" t="str">
        <f>IFERROR(INDEX(SJ!$H$9:$H$35,MATCH(#REF!,SJ!$A31:$A$35,0)),"")</f>
        <v/>
      </c>
      <c r="J27" s="566" t="str">
        <f>IFERROR(INDEX(SJ!$Q$9:$Q$35,MATCH(#REF!,SJ!$C$9:$C$35,0)),"")</f>
        <v/>
      </c>
    </row>
    <row r="28" spans="5:11" ht="15" customHeight="1">
      <c r="E28" s="362">
        <f t="shared" si="0"/>
        <v>11</v>
      </c>
      <c r="F28" s="362" t="str">
        <f>IFERROR(INDEX(SJ!$F$9:$F$35,MATCH(#REF!,SJ!$A$9:$A$35,0)),"")</f>
        <v/>
      </c>
      <c r="G28" s="565" t="str">
        <f>IFERROR(INDEX(SJ!$G$9:$G$35,MATCH(E28,SJ!$A$9:$A$35,0)),"")</f>
        <v/>
      </c>
      <c r="H28" s="362" t="str">
        <f>IFERROR(INDEX(SJ!$F$9:$F$35,MATCH(#REF!,SJ!$A$9:$A$35,0)),"")</f>
        <v/>
      </c>
      <c r="I28" s="565" t="str">
        <f>IFERROR(INDEX(SJ!$H$9:$H$35,MATCH(#REF!,SJ!$A32:$A$35,0)),"")</f>
        <v/>
      </c>
      <c r="J28" s="566" t="str">
        <f>IFERROR(INDEX(SJ!$Q$9:$Q$35,MATCH(#REF!,SJ!$C$9:$C$35,0)),"")</f>
        <v/>
      </c>
    </row>
    <row r="29" spans="5:11" ht="15" customHeight="1">
      <c r="E29" s="362">
        <f t="shared" si="0"/>
        <v>12</v>
      </c>
      <c r="F29" s="362" t="str">
        <f>IFERROR(INDEX(SJ!$F$9:$F$35,MATCH(#REF!,SJ!$A$9:$A$35,0)),"")</f>
        <v/>
      </c>
      <c r="G29" s="565" t="str">
        <f>IFERROR(INDEX(SJ!$G$9:$G$35,MATCH(E29,SJ!$A$9:$A$35,0)),"")</f>
        <v/>
      </c>
      <c r="H29" s="362" t="str">
        <f>IFERROR(INDEX(SJ!$F$9:$F$35,MATCH(#REF!,SJ!$A$9:$A$35,0)),"")</f>
        <v/>
      </c>
      <c r="I29" s="565" t="str">
        <f>IFERROR(INDEX(SJ!$H$9:$H$35,MATCH(#REF!,SJ!$A33:$A$35,0)),"")</f>
        <v/>
      </c>
      <c r="J29" s="566" t="str">
        <f>IFERROR(INDEX(SJ!$Q$9:$Q$35,MATCH(#REF!,SJ!$C$9:$C$35,0)),"")</f>
        <v/>
      </c>
    </row>
    <row r="30" spans="5:11" ht="15" customHeight="1">
      <c r="E30" s="362">
        <f t="shared" si="0"/>
        <v>13</v>
      </c>
      <c r="F30" s="362" t="str">
        <f>IFERROR(INDEX(SJ!$F$9:$F$35,MATCH(#REF!,SJ!$A$9:$A$35,0)),"")</f>
        <v/>
      </c>
      <c r="G30" s="565" t="str">
        <f>IFERROR(INDEX(SJ!$G$9:$G$35,MATCH(E30,SJ!$A$9:$A$35,0)),"")</f>
        <v/>
      </c>
      <c r="H30" s="362" t="str">
        <f>IFERROR(INDEX(SJ!$F$9:$F$35,MATCH(#REF!,SJ!$A$9:$A$35,0)),"")</f>
        <v/>
      </c>
      <c r="I30" s="565" t="str">
        <f>IFERROR(INDEX(SJ!$H$9:$H$35,MATCH(#REF!,SJ!$A34:$A$35,0)),"")</f>
        <v/>
      </c>
      <c r="J30" s="566" t="str">
        <f>IFERROR(INDEX(SJ!$Q$9:$Q$35,MATCH(#REF!,SJ!$C$9:$C$35,0)),"")</f>
        <v/>
      </c>
    </row>
    <row r="31" spans="5:11">
      <c r="E31" s="362">
        <f t="shared" si="0"/>
        <v>14</v>
      </c>
      <c r="F31" s="362" t="str">
        <f>IFERROR(INDEX(SJ!$F$9:$F$35,MATCH(#REF!,SJ!$A$9:$A$35,0)),"")</f>
        <v/>
      </c>
      <c r="G31" s="565" t="str">
        <f>IFERROR(INDEX(SJ!$G$9:$G$35,MATCH(E31,SJ!$A$9:$A$35,0)),"")</f>
        <v/>
      </c>
      <c r="H31" s="362" t="str">
        <f>IFERROR(INDEX(SJ!$F$9:$F$35,MATCH(#REF!,SJ!$A$9:$A$35,0)),"")</f>
        <v/>
      </c>
      <c r="I31" s="565" t="str">
        <f>IFERROR(INDEX(SJ!$H$9:$H$35,MATCH(#REF!,SJ!$A35:$A$35,0)),"")</f>
        <v/>
      </c>
      <c r="J31" s="566" t="str">
        <f>IFERROR(INDEX(SJ!$Q$9:$Q$35,MATCH(#REF!,SJ!$C$9:$C$35,0)),"")</f>
        <v/>
      </c>
    </row>
    <row r="32" spans="5:11" ht="20.100000000000001" customHeight="1" thickBot="1">
      <c r="E32" s="577" t="str">
        <f>IFERROR(INDEX(SJ!$C$9:$C$35,MATCH(#REF!,SJ!$A$9:$A$35,0)),"")</f>
        <v/>
      </c>
      <c r="F32" s="577" t="s">
        <v>0</v>
      </c>
      <c r="G32" s="717" t="str">
        <f>IFERROR(INDEX(SJ!$G$9:$G$35,MATCH(E32,SJ!$A$9:$A$35,0)),"")</f>
        <v/>
      </c>
      <c r="H32" s="577" t="s">
        <v>0</v>
      </c>
      <c r="I32" s="578"/>
      <c r="J32" s="579">
        <f>SUM(J18:J31)</f>
        <v>8572.5</v>
      </c>
      <c r="K32" s="572"/>
    </row>
    <row r="33" spans="2:10" ht="13.5" thickTop="1">
      <c r="E33" s="362" t="s">
        <v>0</v>
      </c>
      <c r="F33" s="362" t="s">
        <v>0</v>
      </c>
      <c r="G33" s="565" t="str">
        <f>IFERROR(INDEX(SJ!$G$9:$G$35,MATCH(E33,SJ!$A$9:$A$35,0)),"")</f>
        <v/>
      </c>
      <c r="H33" s="362" t="s">
        <v>0</v>
      </c>
      <c r="I33" s="568"/>
      <c r="J33" s="569"/>
    </row>
    <row r="34" spans="2:10">
      <c r="B34" s="362"/>
      <c r="C34" s="567"/>
      <c r="E34" s="362"/>
      <c r="F34" s="362"/>
      <c r="G34" s="568"/>
      <c r="H34" s="568"/>
      <c r="I34" s="568"/>
      <c r="J34" s="569"/>
    </row>
    <row r="35" spans="2:10">
      <c r="B35" s="362"/>
      <c r="C35" s="567"/>
      <c r="E35" s="362"/>
      <c r="F35" s="362"/>
      <c r="G35" s="568"/>
      <c r="H35" s="568"/>
      <c r="I35" s="568"/>
      <c r="J35" s="569"/>
    </row>
    <row r="36" spans="2:10">
      <c r="B36" s="362"/>
      <c r="C36" s="567"/>
      <c r="E36" s="362"/>
      <c r="F36" s="362"/>
      <c r="G36" s="568"/>
      <c r="H36" s="568"/>
      <c r="I36" s="568"/>
      <c r="J36" s="569"/>
    </row>
    <row r="37" spans="2:10">
      <c r="B37" s="362"/>
      <c r="C37" s="567"/>
      <c r="E37" s="362"/>
      <c r="F37" s="362"/>
      <c r="G37" s="568"/>
      <c r="H37" s="568"/>
      <c r="I37" s="568"/>
      <c r="J37" s="569"/>
    </row>
    <row r="38" spans="2:10">
      <c r="B38" s="362"/>
      <c r="C38" s="567"/>
      <c r="E38" s="362"/>
      <c r="F38" s="362"/>
      <c r="G38" s="568"/>
      <c r="H38" s="568"/>
      <c r="I38" s="568"/>
      <c r="J38" s="569" t="s">
        <v>0</v>
      </c>
    </row>
    <row r="39" spans="2:10">
      <c r="B39" s="362"/>
      <c r="C39" s="567"/>
      <c r="E39" s="362"/>
      <c r="F39" s="362"/>
      <c r="G39" s="568"/>
      <c r="H39" s="568"/>
      <c r="I39" s="568"/>
      <c r="J39" s="569" t="s">
        <v>0</v>
      </c>
    </row>
  </sheetData>
  <mergeCells count="1">
    <mergeCell ref="B9:D9"/>
  </mergeCells>
  <phoneticPr fontId="11" type="noConversion"/>
  <hyperlinks>
    <hyperlink ref="A1" location="'TABLE OF CONTENTS'!A1" display="INDEX" xr:uid="{DD45B691-AF12-466D-897B-6EC73FFF37B0}"/>
  </hyperlinks>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FC131-F295-4CB9-8B9B-FA775E23C3B0}">
  <sheetPr codeName="Sheet26">
    <tabColor theme="5"/>
  </sheetPr>
  <dimension ref="A1:J34"/>
  <sheetViews>
    <sheetView workbookViewId="0">
      <selection activeCell="G17" sqref="G17"/>
    </sheetView>
  </sheetViews>
  <sheetFormatPr defaultColWidth="9.140625" defaultRowHeight="12.75"/>
  <cols>
    <col min="1" max="4" width="9.140625" style="362"/>
    <col min="5" max="5" width="4.5703125" style="362" customWidth="1"/>
    <col min="6" max="6" width="53.140625" style="362" customWidth="1"/>
    <col min="7" max="7" width="12.28515625" style="362" bestFit="1" customWidth="1"/>
    <col min="8" max="8" width="15.28515625" style="362" customWidth="1"/>
    <col min="9" max="16384" width="9.140625" style="362"/>
  </cols>
  <sheetData>
    <row r="1" spans="1:10">
      <c r="A1" s="59" t="s">
        <v>1650</v>
      </c>
      <c r="B1" s="363"/>
      <c r="C1" s="713" t="str">
        <f>F5</f>
        <v>CAPITAL ASSETS</v>
      </c>
    </row>
    <row r="2" spans="1:10">
      <c r="A2" s="362" t="s">
        <v>223</v>
      </c>
      <c r="B2" s="363"/>
      <c r="C2" s="363"/>
      <c r="D2" s="363"/>
      <c r="E2" s="363"/>
      <c r="F2" s="363"/>
      <c r="G2" s="363"/>
      <c r="H2" s="363"/>
    </row>
    <row r="3" spans="1:10">
      <c r="B3" s="363"/>
      <c r="C3" s="363"/>
      <c r="D3" s="363"/>
      <c r="E3" s="363"/>
      <c r="F3" s="363"/>
      <c r="G3" s="363"/>
      <c r="H3" s="363"/>
    </row>
    <row r="4" spans="1:10" ht="15.75">
      <c r="B4" s="363"/>
      <c r="D4" s="402"/>
      <c r="E4" s="402"/>
      <c r="F4" s="715" t="str">
        <f>UPPER(COA!B2)</f>
        <v>ANONYMOUS COMPANY</v>
      </c>
      <c r="G4" s="715"/>
      <c r="H4" s="715"/>
      <c r="I4" s="401" t="s">
        <v>50</v>
      </c>
    </row>
    <row r="5" spans="1:10" ht="15.75">
      <c r="B5" s="410" t="s">
        <v>0</v>
      </c>
      <c r="C5" s="362" t="s">
        <v>0</v>
      </c>
      <c r="D5" s="404"/>
      <c r="E5" s="404"/>
      <c r="F5" s="405" t="str">
        <f>UPPER(_xlfn.XLOOKUP(A2,COA!H1:H174,COA!I1:I174))</f>
        <v>CAPITAL ASSETS</v>
      </c>
      <c r="G5" s="716"/>
      <c r="H5" s="716"/>
    </row>
    <row r="6" spans="1:10">
      <c r="B6" s="363"/>
      <c r="D6" s="406"/>
      <c r="E6" s="406"/>
      <c r="F6" s="555" t="str">
        <f>"FOR THE YEAR ENDED "&amp;UPPER(TEXT(COA!$B$4,"MMMM DD, YYYY"))</f>
        <v>FOR THE YEAR ENDED DECEMBER 31, 2025</v>
      </c>
      <c r="G6" s="555"/>
      <c r="H6" s="555"/>
    </row>
    <row r="7" spans="1:10">
      <c r="B7" s="363"/>
      <c r="C7" s="363"/>
      <c r="D7" s="363"/>
      <c r="E7" s="363"/>
      <c r="F7" s="363"/>
      <c r="G7" s="363"/>
      <c r="H7" s="363"/>
    </row>
    <row r="8" spans="1:10">
      <c r="B8" s="363"/>
      <c r="C8" s="364"/>
      <c r="D8" s="364"/>
      <c r="E8" s="365"/>
      <c r="F8" s="365"/>
      <c r="G8" s="364"/>
      <c r="H8" s="364"/>
    </row>
    <row r="9" spans="1:10" ht="13.5" thickBot="1">
      <c r="B9" s="1307" t="s">
        <v>357</v>
      </c>
      <c r="C9" s="1307"/>
      <c r="D9" s="1307"/>
      <c r="E9" s="366" t="s">
        <v>0</v>
      </c>
      <c r="F9" s="367" t="s">
        <v>356</v>
      </c>
      <c r="G9" s="368">
        <f>YEAR(COA!B4)</f>
        <v>2025</v>
      </c>
      <c r="H9" s="368">
        <f>G9-1</f>
        <v>2024</v>
      </c>
    </row>
    <row r="10" spans="1:10">
      <c r="B10" s="408" t="s">
        <v>358</v>
      </c>
      <c r="C10" s="409" t="s">
        <v>359</v>
      </c>
      <c r="D10" s="409" t="s">
        <v>360</v>
      </c>
      <c r="F10" s="369"/>
      <c r="G10" s="689"/>
      <c r="H10" s="689"/>
    </row>
    <row r="11" spans="1:10">
      <c r="B11" s="410">
        <f>IFERROR(MATCH(D11,M_COA[LSheetID],0),"")</f>
        <v>17</v>
      </c>
      <c r="C11" s="371">
        <f>1</f>
        <v>1</v>
      </c>
      <c r="D11" s="371" t="str">
        <f t="shared" ref="D11:D17" si="0">_xlfn.CONCAT($I$4,C11)</f>
        <v>U1</v>
      </c>
      <c r="F11" s="398" t="str" cm="1">
        <f t="array" ref="F11">IFERROR(INDEX(M_COA[ACCOUNT],B11),0)</f>
        <v>1600 Land</v>
      </c>
      <c r="G11" s="737" cm="1">
        <f t="array" ref="G11">IFERROR(INDEX(M_COA[CY],B11),0)</f>
        <v>0</v>
      </c>
      <c r="H11" s="737" cm="1">
        <f t="array" ref="H11">IFERROR(INDEX(M_COA[PY1],B11),0)</f>
        <v>0</v>
      </c>
    </row>
    <row r="12" spans="1:10">
      <c r="B12" s="410">
        <f>IFERROR(MATCH(D12,M_COA[LSheetID],0),"")</f>
        <v>18</v>
      </c>
      <c r="C12" s="371">
        <f t="shared" ref="C12:C27" si="1">C11+1</f>
        <v>2</v>
      </c>
      <c r="D12" s="371" t="str">
        <f t="shared" si="0"/>
        <v>U2</v>
      </c>
      <c r="F12" s="398" t="str" cm="1">
        <f t="array" ref="F12">IFERROR(INDEX(M_COA[ACCOUNT],B12),0)</f>
        <v>1680 Building</v>
      </c>
      <c r="G12" s="737" cm="1">
        <f t="array" ref="G12">IFERROR(INDEX(M_COA[CY],B12),0)</f>
        <v>0</v>
      </c>
      <c r="H12" s="737" cm="1">
        <f t="array" ref="H12">IFERROR(INDEX(M_COA[PY1],B12),0)</f>
        <v>0</v>
      </c>
    </row>
    <row r="13" spans="1:10">
      <c r="B13" s="410">
        <f>IFERROR(MATCH(D13,M_COA[LSheetID],0),"")</f>
        <v>19</v>
      </c>
      <c r="C13" s="371">
        <f t="shared" si="1"/>
        <v>3</v>
      </c>
      <c r="D13" s="371" t="str">
        <f t="shared" si="0"/>
        <v>U3</v>
      </c>
      <c r="F13" s="398" t="str" cm="1">
        <f t="array" ref="F13">IFERROR(INDEX(M_COA[ACCOUNT],B13),0)</f>
        <v>1681  Building  accumulated amortization</v>
      </c>
      <c r="G13" s="737" cm="1">
        <f t="array" ref="G13">IFERROR(INDEX(M_COA[CY],B13),0)</f>
        <v>0</v>
      </c>
      <c r="H13" s="737" cm="1">
        <f t="array" ref="H13">IFERROR(INDEX(M_COA[PY1],B13),0)</f>
        <v>0</v>
      </c>
    </row>
    <row r="14" spans="1:10">
      <c r="B14" s="410">
        <f>IFERROR(MATCH(D14,M_COA[LSheetID],0),"")</f>
        <v>20</v>
      </c>
      <c r="C14" s="371">
        <f t="shared" si="1"/>
        <v>4</v>
      </c>
      <c r="D14" s="371" t="str">
        <f t="shared" si="0"/>
        <v>U4</v>
      </c>
      <c r="F14" s="398" t="str" cm="1">
        <f t="array" ref="F14">IFERROR(INDEX(M_COA[ACCOUNT],B14),0)</f>
        <v>1740 Furniture</v>
      </c>
      <c r="G14" s="737" cm="1">
        <f t="array" ref="G14">IFERROR(INDEX(M_COA[CY],B14),0)</f>
        <v>0</v>
      </c>
      <c r="H14" s="737" cm="1">
        <f t="array" ref="H14">IFERROR(INDEX(M_COA[PY1],B14),0)</f>
        <v>0</v>
      </c>
    </row>
    <row r="15" spans="1:10">
      <c r="B15" s="410">
        <f>IFERROR(MATCH(D15,M_COA[LSheetID],0),"")</f>
        <v>21</v>
      </c>
      <c r="C15" s="371">
        <f t="shared" si="1"/>
        <v>5</v>
      </c>
      <c r="D15" s="371" t="str">
        <f t="shared" si="0"/>
        <v>U5</v>
      </c>
      <c r="F15" s="398" t="str" cm="1">
        <f t="array" ref="F15">IFERROR(INDEX(M_COA[ACCOUNT],B15),0)</f>
        <v>1741 Furniture accumulated amortization</v>
      </c>
      <c r="G15" s="737" cm="1">
        <f t="array" ref="G15">IFERROR(INDEX(M_COA[CY],B15),0)</f>
        <v>0</v>
      </c>
      <c r="H15" s="737" cm="1">
        <f t="array" ref="H15">IFERROR(INDEX(M_COA[PY1],B15),0)</f>
        <v>0</v>
      </c>
    </row>
    <row r="16" spans="1:10">
      <c r="B16" s="410">
        <f>IFERROR(MATCH(D16,M_COA[LSheetID],0),"")</f>
        <v>22</v>
      </c>
      <c r="C16" s="371">
        <f t="shared" si="1"/>
        <v>6</v>
      </c>
      <c r="D16" s="371" t="str">
        <f t="shared" si="0"/>
        <v>U6</v>
      </c>
      <c r="F16" s="398" t="str" cm="1">
        <f t="array" ref="F16">IFERROR(INDEX(M_COA[ACCOUNT],B16),0)</f>
        <v>1742 Automobile</v>
      </c>
      <c r="G16" s="737" cm="1">
        <f t="array" ref="G16">IFERROR(INDEX(M_COA[CY],B16),0)</f>
        <v>32594.05</v>
      </c>
      <c r="H16" s="737" cm="1">
        <f t="array" ref="H16">IFERROR(INDEX(M_COA[PY1],B16),0)</f>
        <v>62299</v>
      </c>
      <c r="J16"/>
    </row>
    <row r="17" spans="2:10">
      <c r="B17" s="410">
        <f>IFERROR(MATCH(D17,M_COA[LSheetID],0),"")</f>
        <v>23</v>
      </c>
      <c r="C17" s="371">
        <f t="shared" si="1"/>
        <v>7</v>
      </c>
      <c r="D17" s="371" t="str">
        <f t="shared" si="0"/>
        <v>U7</v>
      </c>
      <c r="F17" s="398" t="str" cm="1">
        <f t="array" ref="F17">IFERROR(INDEX(M_COA[ACCOUNT],B17),0)</f>
        <v>1743 Automobile:Accum Dep</v>
      </c>
      <c r="G17" s="737" cm="1">
        <f t="array" ref="G17">IFERROR(INDEX(M_COA[CY],B17),0)</f>
        <v>-29116.629999999997</v>
      </c>
      <c r="H17" s="737" cm="1">
        <f t="array" ref="H17">IFERROR(INDEX(M_COA[PY1],B17),0)</f>
        <v>-39657</v>
      </c>
      <c r="J17"/>
    </row>
    <row r="18" spans="2:10">
      <c r="B18" s="410">
        <v>24</v>
      </c>
      <c r="C18" s="371">
        <f t="shared" si="1"/>
        <v>8</v>
      </c>
      <c r="D18" s="371" t="str">
        <f t="shared" ref="D18:D27" si="2">_xlfn.CONCAT($I$4,C18)</f>
        <v>U8</v>
      </c>
      <c r="F18" s="398" t="str" cm="1">
        <f t="array" ref="F18">IFERROR(INDEX(M_COA[ACCOUNT],B18),0)</f>
        <v>1774 Computer</v>
      </c>
      <c r="G18" s="737" cm="1">
        <f t="array" ref="G18">IFERROR(INDEX(M_COA[CY],B18),0)</f>
        <v>88951.72</v>
      </c>
      <c r="H18" s="737" cm="1">
        <f t="array" ref="H18">IFERROR(INDEX(M_COA[PY1],B18),0)</f>
        <v>74884.72</v>
      </c>
      <c r="J18"/>
    </row>
    <row r="19" spans="2:10">
      <c r="B19" s="410">
        <v>25</v>
      </c>
      <c r="C19" s="371">
        <f t="shared" si="1"/>
        <v>9</v>
      </c>
      <c r="D19" s="371" t="str">
        <f t="shared" si="2"/>
        <v>U9</v>
      </c>
      <c r="F19" s="398" t="str" cm="1">
        <f t="array" ref="F19">IFERROR(INDEX(M_COA[ACCOUNT],B19),0)</f>
        <v>1775 Computer accumulated amortization</v>
      </c>
      <c r="G19" s="737" cm="1">
        <f t="array" ref="G19">IFERROR(INDEX(M_COA[CY],B19),0)</f>
        <v>-63486.54</v>
      </c>
      <c r="H19" s="737" cm="1">
        <f t="array" ref="H19">IFERROR(INDEX(M_COA[PY1],B19),0)</f>
        <v>-55587.25</v>
      </c>
      <c r="J19"/>
    </row>
    <row r="20" spans="2:10">
      <c r="B20" s="410">
        <v>26</v>
      </c>
      <c r="C20" s="371">
        <f t="shared" si="1"/>
        <v>10</v>
      </c>
      <c r="D20" s="371" t="str">
        <f t="shared" si="2"/>
        <v>U10</v>
      </c>
      <c r="F20" s="398" t="str" cm="1">
        <f t="array" ref="F20">IFERROR(INDEX(M_COA[ACCOUNT],B20),0)</f>
        <v xml:space="preserve">1787 Equipment </v>
      </c>
      <c r="G20" s="737" cm="1">
        <f t="array" ref="G20">IFERROR(INDEX(M_COA[CY],B20),0)</f>
        <v>907431.02</v>
      </c>
      <c r="H20" s="737" cm="1">
        <f t="array" ref="H20">IFERROR(INDEX(M_COA[PY1],B20),0)</f>
        <v>847988.02999999991</v>
      </c>
      <c r="J20"/>
    </row>
    <row r="21" spans="2:10">
      <c r="B21" s="410">
        <v>27</v>
      </c>
      <c r="C21" s="371">
        <f t="shared" si="1"/>
        <v>11</v>
      </c>
      <c r="D21" s="371" t="str">
        <f t="shared" si="2"/>
        <v>U11</v>
      </c>
      <c r="F21" s="398" t="str" cm="1">
        <f t="array" ref="F21">IFERROR(INDEX(M_COA[ACCOUNT],B21),0)</f>
        <v>1788 Equipment accumulated amortization</v>
      </c>
      <c r="G21" s="737" cm="1">
        <f t="array" ref="G21">IFERROR(INDEX(M_COA[CY],B21),0)</f>
        <v>-637005.93000000005</v>
      </c>
      <c r="H21" s="737" cm="1">
        <f t="array" ref="H21">IFERROR(INDEX(M_COA[PY1],B21),0)</f>
        <v>-576830.03</v>
      </c>
      <c r="J21"/>
    </row>
    <row r="22" spans="2:10">
      <c r="B22" s="410">
        <v>28</v>
      </c>
      <c r="C22" s="371">
        <f t="shared" si="1"/>
        <v>12</v>
      </c>
      <c r="D22" s="371" t="str">
        <f t="shared" si="2"/>
        <v>U12</v>
      </c>
      <c r="F22" s="398" t="str" cm="1">
        <f t="array" ref="F22">IFERROR(INDEX(M_COA[ACCOUNT],B22),0)</f>
        <v xml:space="preserve">1918 Leasehold improvements </v>
      </c>
      <c r="G22" s="737" cm="1">
        <f t="array" ref="G22">IFERROR(INDEX(M_COA[CY],B22),0)</f>
        <v>874941.75</v>
      </c>
      <c r="H22" s="737" cm="1">
        <f t="array" ref="H22">IFERROR(INDEX(M_COA[PY1],B22),0)</f>
        <v>874941.75</v>
      </c>
      <c r="J22"/>
    </row>
    <row r="23" spans="2:10">
      <c r="B23" s="410">
        <v>29</v>
      </c>
      <c r="C23" s="371">
        <f t="shared" si="1"/>
        <v>13</v>
      </c>
      <c r="D23" s="371" t="str">
        <f t="shared" si="2"/>
        <v>U13</v>
      </c>
      <c r="F23" s="398" t="str" cm="1">
        <f t="array" ref="F23">IFERROR(INDEX(M_COA[ACCOUNT],B23),0)</f>
        <v>1919 Leasehold improvements accumulated Amortization</v>
      </c>
      <c r="G23" s="737" cm="1">
        <f t="array" ref="G23">IFERROR(INDEX(M_COA[CY],B23),0)</f>
        <v>-503688.35</v>
      </c>
      <c r="H23" s="737" cm="1">
        <f t="array" ref="H23">IFERROR(INDEX(M_COA[PY1],B23),0)</f>
        <v>-410875</v>
      </c>
      <c r="J23"/>
    </row>
    <row r="24" spans="2:10">
      <c r="B24" s="410">
        <v>30</v>
      </c>
      <c r="C24" s="371">
        <f t="shared" si="1"/>
        <v>14</v>
      </c>
      <c r="D24" s="371" t="str">
        <f t="shared" si="2"/>
        <v>U14</v>
      </c>
      <c r="F24" s="398" t="str" cm="1">
        <f t="array" ref="F24">IFERROR(INDEX(M_COA[ACCOUNT],B24),0)</f>
        <v>2012 Goodwill</v>
      </c>
      <c r="G24" s="737" cm="1">
        <f t="array" ref="G24">IFERROR(INDEX(M_COA[CY],B24),0)</f>
        <v>0</v>
      </c>
      <c r="H24" s="737" cm="1">
        <f t="array" ref="H24">IFERROR(INDEX(M_COA[PY1],B24),0)</f>
        <v>0</v>
      </c>
      <c r="J24"/>
    </row>
    <row r="25" spans="2:10">
      <c r="B25" s="410">
        <v>31</v>
      </c>
      <c r="C25" s="371">
        <f t="shared" si="1"/>
        <v>15</v>
      </c>
      <c r="D25" s="371" t="str">
        <f t="shared" si="2"/>
        <v>U15</v>
      </c>
      <c r="F25" s="398" t="str" cm="1">
        <f t="array" ref="F25">IFERROR(INDEX(M_COA[ACCOUNT],B25),0)</f>
        <v>2013 Goodwill accumulated amortization</v>
      </c>
      <c r="G25" s="737" cm="1">
        <f t="array" ref="G25">IFERROR(INDEX(M_COA[CY],B25),0)</f>
        <v>0</v>
      </c>
      <c r="H25" s="737" cm="1">
        <f t="array" ref="H25">IFERROR(INDEX(M_COA[PY1],B25),0)</f>
        <v>0</v>
      </c>
      <c r="J25"/>
    </row>
    <row r="26" spans="2:10">
      <c r="B26" s="410">
        <v>32</v>
      </c>
      <c r="C26" s="371">
        <f t="shared" si="1"/>
        <v>16</v>
      </c>
      <c r="D26" s="371" t="str">
        <f t="shared" si="2"/>
        <v>U16</v>
      </c>
      <c r="F26" s="398" t="str" cm="1">
        <f t="array" ref="F26">IFERROR(INDEX(M_COA[ACCOUNT],B26),0)</f>
        <v>2016 Franchise Fee</v>
      </c>
      <c r="G26" s="737" cm="1">
        <f t="array" ref="G26">IFERROR(INDEX(M_COA[CY],B26),0)</f>
        <v>62250</v>
      </c>
      <c r="H26" s="737" cm="1">
        <f t="array" ref="H26">IFERROR(INDEX(M_COA[PY1],B26),0)</f>
        <v>62250</v>
      </c>
    </row>
    <row r="27" spans="2:10">
      <c r="B27" s="410">
        <v>33</v>
      </c>
      <c r="C27" s="371">
        <f t="shared" si="1"/>
        <v>17</v>
      </c>
      <c r="D27" s="371" t="str">
        <f t="shared" si="2"/>
        <v>U17</v>
      </c>
      <c r="F27" s="398" t="str" cm="1">
        <f t="array" ref="F27">IFERROR(INDEX(M_COA[ACCOUNT],B27),0)</f>
        <v>2017 Franchise Fee accumulated amortization</v>
      </c>
      <c r="G27" s="737" cm="1">
        <f t="array" ref="G27">IFERROR(INDEX(M_COA[CY],B27),0)</f>
        <v>-47550</v>
      </c>
      <c r="H27" s="737" cm="1">
        <f t="array" ref="H27">IFERROR(INDEX(M_COA[PY1],B27),0)</f>
        <v>-43875</v>
      </c>
    </row>
    <row r="28" spans="2:10" ht="21" customHeight="1" thickBot="1">
      <c r="B28" s="363"/>
      <c r="C28" s="371"/>
      <c r="D28" s="371"/>
      <c r="E28" s="371"/>
      <c r="F28" s="372"/>
      <c r="G28" s="738">
        <f>SUM(G11:G27)</f>
        <v>685321.09</v>
      </c>
      <c r="H28" s="738">
        <f>SUM(H11:H27)</f>
        <v>795539.21999999974</v>
      </c>
    </row>
    <row r="29" spans="2:10" ht="13.5" thickTop="1">
      <c r="B29" s="363"/>
      <c r="C29" s="373"/>
      <c r="D29" s="373"/>
      <c r="E29" s="373"/>
      <c r="F29" s="373"/>
      <c r="G29" s="374"/>
      <c r="H29" s="374"/>
    </row>
    <row r="30" spans="2:10">
      <c r="F30" s="362" t="s">
        <v>52</v>
      </c>
      <c r="G30" s="424">
        <f>SUMIF(G11:G27,"&gt;=0",G11:G27)</f>
        <v>1966168.54</v>
      </c>
      <c r="H30" s="424">
        <f>SUMIF(H11:H27,"&gt;=0",H11:H27)</f>
        <v>1922363.5</v>
      </c>
    </row>
    <row r="31" spans="2:10">
      <c r="E31" s="362" t="s">
        <v>0</v>
      </c>
      <c r="F31" s="362" t="s">
        <v>631</v>
      </c>
      <c r="G31" s="424">
        <f>SUMIF(G11:G27,"&lt;=0",G11:G27)</f>
        <v>-1280847.4500000002</v>
      </c>
      <c r="H31" s="424">
        <f>SUMIF(H11:H27,"&lt;=0",H11:H27)</f>
        <v>-1126824.28</v>
      </c>
    </row>
    <row r="33" spans="6:8" ht="13.5" thickBot="1">
      <c r="F33" s="362" t="s">
        <v>1094</v>
      </c>
      <c r="G33" s="754">
        <f>G31+G30</f>
        <v>685321.08999999985</v>
      </c>
      <c r="H33" s="754">
        <f>H31+H30</f>
        <v>795539.22</v>
      </c>
    </row>
    <row r="34" spans="6:8" ht="13.5" thickTop="1"/>
  </sheetData>
  <mergeCells count="1">
    <mergeCell ref="B9:D9"/>
  </mergeCells>
  <hyperlinks>
    <hyperlink ref="A1" location="'TABLE OF CONTENTS'!A1" display="INDEX" xr:uid="{9D950E0C-7788-41ED-B1C0-7A11FABE00AE}"/>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BFE5F-E399-4968-8264-1C177DD16233}">
  <sheetPr codeName="Sheet53">
    <tabColor theme="5"/>
  </sheetPr>
  <dimension ref="A1:W53"/>
  <sheetViews>
    <sheetView topLeftCell="A25" workbookViewId="0">
      <selection activeCell="S52" sqref="S52"/>
    </sheetView>
  </sheetViews>
  <sheetFormatPr defaultRowHeight="12.75"/>
  <cols>
    <col min="1" max="3" width="9.140625" style="323"/>
    <col min="4" max="4" width="47.140625" style="323" customWidth="1"/>
    <col min="5" max="5" width="2.85546875" style="323" customWidth="1"/>
    <col min="6" max="6" width="39.42578125" style="323" customWidth="1"/>
    <col min="7" max="7" width="2.42578125" style="323" customWidth="1"/>
    <col min="8" max="8" width="13.140625" style="323" customWidth="1"/>
    <col min="9" max="9" width="12.7109375" style="323" customWidth="1"/>
    <col min="10" max="10" width="13.42578125" style="323" customWidth="1"/>
    <col min="11" max="11" width="14.5703125" style="323" customWidth="1"/>
    <col min="12" max="12" width="8" style="323" customWidth="1"/>
    <col min="13" max="13" width="12.28515625" style="323" customWidth="1"/>
    <col min="14" max="14" width="13" style="323" customWidth="1"/>
    <col min="15" max="15" width="12.5703125" style="323" bestFit="1" customWidth="1"/>
    <col min="16" max="16" width="14.5703125" style="323" customWidth="1"/>
    <col min="17" max="17" width="15" style="323" customWidth="1"/>
    <col min="18" max="18" width="8" style="323" customWidth="1"/>
    <col min="19" max="19" width="33.5703125" style="323" customWidth="1"/>
    <col min="20" max="20" width="14.42578125" style="323" customWidth="1"/>
    <col min="21" max="22" width="9.140625" style="323"/>
    <col min="23" max="23" width="10.7109375" style="323" bestFit="1" customWidth="1"/>
    <col min="24" max="254" width="9.140625" style="323"/>
    <col min="255" max="255" width="23.7109375" style="323" customWidth="1"/>
    <col min="256" max="256" width="7.140625" style="323" customWidth="1"/>
    <col min="257" max="257" width="14.5703125" style="323" customWidth="1"/>
    <col min="258" max="258" width="26.140625" style="323" customWidth="1"/>
    <col min="259" max="259" width="0" style="323" hidden="1" customWidth="1"/>
    <col min="260" max="263" width="12.7109375" style="323" customWidth="1"/>
    <col min="264" max="264" width="1.7109375" style="323" customWidth="1"/>
    <col min="265" max="266" width="12.7109375" style="323" customWidth="1"/>
    <col min="267" max="267" width="8.28515625" style="323" customWidth="1"/>
    <col min="268" max="268" width="12.5703125" style="323" bestFit="1" customWidth="1"/>
    <col min="269" max="269" width="12.7109375" style="323" customWidth="1"/>
    <col min="270" max="270" width="1.42578125" style="323" customWidth="1"/>
    <col min="271" max="272" width="12.7109375" style="323" customWidth="1"/>
    <col min="273" max="510" width="9.140625" style="323"/>
    <col min="511" max="511" width="23.7109375" style="323" customWidth="1"/>
    <col min="512" max="512" width="7.140625" style="323" customWidth="1"/>
    <col min="513" max="513" width="14.5703125" style="323" customWidth="1"/>
    <col min="514" max="514" width="26.140625" style="323" customWidth="1"/>
    <col min="515" max="515" width="0" style="323" hidden="1" customWidth="1"/>
    <col min="516" max="519" width="12.7109375" style="323" customWidth="1"/>
    <col min="520" max="520" width="1.7109375" style="323" customWidth="1"/>
    <col min="521" max="522" width="12.7109375" style="323" customWidth="1"/>
    <col min="523" max="523" width="8.28515625" style="323" customWidth="1"/>
    <col min="524" max="524" width="12.5703125" style="323" bestFit="1" customWidth="1"/>
    <col min="525" max="525" width="12.7109375" style="323" customWidth="1"/>
    <col min="526" max="526" width="1.42578125" style="323" customWidth="1"/>
    <col min="527" max="528" width="12.7109375" style="323" customWidth="1"/>
    <col min="529" max="766" width="9.140625" style="323"/>
    <col min="767" max="767" width="23.7109375" style="323" customWidth="1"/>
    <col min="768" max="768" width="7.140625" style="323" customWidth="1"/>
    <col min="769" max="769" width="14.5703125" style="323" customWidth="1"/>
    <col min="770" max="770" width="26.140625" style="323" customWidth="1"/>
    <col min="771" max="771" width="0" style="323" hidden="1" customWidth="1"/>
    <col min="772" max="775" width="12.7109375" style="323" customWidth="1"/>
    <col min="776" max="776" width="1.7109375" style="323" customWidth="1"/>
    <col min="777" max="778" width="12.7109375" style="323" customWidth="1"/>
    <col min="779" max="779" width="8.28515625" style="323" customWidth="1"/>
    <col min="780" max="780" width="12.5703125" style="323" bestFit="1" customWidth="1"/>
    <col min="781" max="781" width="12.7109375" style="323" customWidth="1"/>
    <col min="782" max="782" width="1.42578125" style="323" customWidth="1"/>
    <col min="783" max="784" width="12.7109375" style="323" customWidth="1"/>
    <col min="785" max="1022" width="9.140625" style="323"/>
    <col min="1023" max="1023" width="23.7109375" style="323" customWidth="1"/>
    <col min="1024" max="1024" width="7.140625" style="323" customWidth="1"/>
    <col min="1025" max="1025" width="14.5703125" style="323" customWidth="1"/>
    <col min="1026" max="1026" width="26.140625" style="323" customWidth="1"/>
    <col min="1027" max="1027" width="0" style="323" hidden="1" customWidth="1"/>
    <col min="1028" max="1031" width="12.7109375" style="323" customWidth="1"/>
    <col min="1032" max="1032" width="1.7109375" style="323" customWidth="1"/>
    <col min="1033" max="1034" width="12.7109375" style="323" customWidth="1"/>
    <col min="1035" max="1035" width="8.28515625" style="323" customWidth="1"/>
    <col min="1036" max="1036" width="12.5703125" style="323" bestFit="1" customWidth="1"/>
    <col min="1037" max="1037" width="12.7109375" style="323" customWidth="1"/>
    <col min="1038" max="1038" width="1.42578125" style="323" customWidth="1"/>
    <col min="1039" max="1040" width="12.7109375" style="323" customWidth="1"/>
    <col min="1041" max="1278" width="9.140625" style="323"/>
    <col min="1279" max="1279" width="23.7109375" style="323" customWidth="1"/>
    <col min="1280" max="1280" width="7.140625" style="323" customWidth="1"/>
    <col min="1281" max="1281" width="14.5703125" style="323" customWidth="1"/>
    <col min="1282" max="1282" width="26.140625" style="323" customWidth="1"/>
    <col min="1283" max="1283" width="0" style="323" hidden="1" customWidth="1"/>
    <col min="1284" max="1287" width="12.7109375" style="323" customWidth="1"/>
    <col min="1288" max="1288" width="1.7109375" style="323" customWidth="1"/>
    <col min="1289" max="1290" width="12.7109375" style="323" customWidth="1"/>
    <col min="1291" max="1291" width="8.28515625" style="323" customWidth="1"/>
    <col min="1292" max="1292" width="12.5703125" style="323" bestFit="1" customWidth="1"/>
    <col min="1293" max="1293" width="12.7109375" style="323" customWidth="1"/>
    <col min="1294" max="1294" width="1.42578125" style="323" customWidth="1"/>
    <col min="1295" max="1296" width="12.7109375" style="323" customWidth="1"/>
    <col min="1297" max="1534" width="9.140625" style="323"/>
    <col min="1535" max="1535" width="23.7109375" style="323" customWidth="1"/>
    <col min="1536" max="1536" width="7.140625" style="323" customWidth="1"/>
    <col min="1537" max="1537" width="14.5703125" style="323" customWidth="1"/>
    <col min="1538" max="1538" width="26.140625" style="323" customWidth="1"/>
    <col min="1539" max="1539" width="0" style="323" hidden="1" customWidth="1"/>
    <col min="1540" max="1543" width="12.7109375" style="323" customWidth="1"/>
    <col min="1544" max="1544" width="1.7109375" style="323" customWidth="1"/>
    <col min="1545" max="1546" width="12.7109375" style="323" customWidth="1"/>
    <col min="1547" max="1547" width="8.28515625" style="323" customWidth="1"/>
    <col min="1548" max="1548" width="12.5703125" style="323" bestFit="1" customWidth="1"/>
    <col min="1549" max="1549" width="12.7109375" style="323" customWidth="1"/>
    <col min="1550" max="1550" width="1.42578125" style="323" customWidth="1"/>
    <col min="1551" max="1552" width="12.7109375" style="323" customWidth="1"/>
    <col min="1553" max="1790" width="9.140625" style="323"/>
    <col min="1791" max="1791" width="23.7109375" style="323" customWidth="1"/>
    <col min="1792" max="1792" width="7.140625" style="323" customWidth="1"/>
    <col min="1793" max="1793" width="14.5703125" style="323" customWidth="1"/>
    <col min="1794" max="1794" width="26.140625" style="323" customWidth="1"/>
    <col min="1795" max="1795" width="0" style="323" hidden="1" customWidth="1"/>
    <col min="1796" max="1799" width="12.7109375" style="323" customWidth="1"/>
    <col min="1800" max="1800" width="1.7109375" style="323" customWidth="1"/>
    <col min="1801" max="1802" width="12.7109375" style="323" customWidth="1"/>
    <col min="1803" max="1803" width="8.28515625" style="323" customWidth="1"/>
    <col min="1804" max="1804" width="12.5703125" style="323" bestFit="1" customWidth="1"/>
    <col min="1805" max="1805" width="12.7109375" style="323" customWidth="1"/>
    <col min="1806" max="1806" width="1.42578125" style="323" customWidth="1"/>
    <col min="1807" max="1808" width="12.7109375" style="323" customWidth="1"/>
    <col min="1809" max="2046" width="9.140625" style="323"/>
    <col min="2047" max="2047" width="23.7109375" style="323" customWidth="1"/>
    <col min="2048" max="2048" width="7.140625" style="323" customWidth="1"/>
    <col min="2049" max="2049" width="14.5703125" style="323" customWidth="1"/>
    <col min="2050" max="2050" width="26.140625" style="323" customWidth="1"/>
    <col min="2051" max="2051" width="0" style="323" hidden="1" customWidth="1"/>
    <col min="2052" max="2055" width="12.7109375" style="323" customWidth="1"/>
    <col min="2056" max="2056" width="1.7109375" style="323" customWidth="1"/>
    <col min="2057" max="2058" width="12.7109375" style="323" customWidth="1"/>
    <col min="2059" max="2059" width="8.28515625" style="323" customWidth="1"/>
    <col min="2060" max="2060" width="12.5703125" style="323" bestFit="1" customWidth="1"/>
    <col min="2061" max="2061" width="12.7109375" style="323" customWidth="1"/>
    <col min="2062" max="2062" width="1.42578125" style="323" customWidth="1"/>
    <col min="2063" max="2064" width="12.7109375" style="323" customWidth="1"/>
    <col min="2065" max="2302" width="9.140625" style="323"/>
    <col min="2303" max="2303" width="23.7109375" style="323" customWidth="1"/>
    <col min="2304" max="2304" width="7.140625" style="323" customWidth="1"/>
    <col min="2305" max="2305" width="14.5703125" style="323" customWidth="1"/>
    <col min="2306" max="2306" width="26.140625" style="323" customWidth="1"/>
    <col min="2307" max="2307" width="0" style="323" hidden="1" customWidth="1"/>
    <col min="2308" max="2311" width="12.7109375" style="323" customWidth="1"/>
    <col min="2312" max="2312" width="1.7109375" style="323" customWidth="1"/>
    <col min="2313" max="2314" width="12.7109375" style="323" customWidth="1"/>
    <col min="2315" max="2315" width="8.28515625" style="323" customWidth="1"/>
    <col min="2316" max="2316" width="12.5703125" style="323" bestFit="1" customWidth="1"/>
    <col min="2317" max="2317" width="12.7109375" style="323" customWidth="1"/>
    <col min="2318" max="2318" width="1.42578125" style="323" customWidth="1"/>
    <col min="2319" max="2320" width="12.7109375" style="323" customWidth="1"/>
    <col min="2321" max="2558" width="9.140625" style="323"/>
    <col min="2559" max="2559" width="23.7109375" style="323" customWidth="1"/>
    <col min="2560" max="2560" width="7.140625" style="323" customWidth="1"/>
    <col min="2561" max="2561" width="14.5703125" style="323" customWidth="1"/>
    <col min="2562" max="2562" width="26.140625" style="323" customWidth="1"/>
    <col min="2563" max="2563" width="0" style="323" hidden="1" customWidth="1"/>
    <col min="2564" max="2567" width="12.7109375" style="323" customWidth="1"/>
    <col min="2568" max="2568" width="1.7109375" style="323" customWidth="1"/>
    <col min="2569" max="2570" width="12.7109375" style="323" customWidth="1"/>
    <col min="2571" max="2571" width="8.28515625" style="323" customWidth="1"/>
    <col min="2572" max="2572" width="12.5703125" style="323" bestFit="1" customWidth="1"/>
    <col min="2573" max="2573" width="12.7109375" style="323" customWidth="1"/>
    <col min="2574" max="2574" width="1.42578125" style="323" customWidth="1"/>
    <col min="2575" max="2576" width="12.7109375" style="323" customWidth="1"/>
    <col min="2577" max="2814" width="9.140625" style="323"/>
    <col min="2815" max="2815" width="23.7109375" style="323" customWidth="1"/>
    <col min="2816" max="2816" width="7.140625" style="323" customWidth="1"/>
    <col min="2817" max="2817" width="14.5703125" style="323" customWidth="1"/>
    <col min="2818" max="2818" width="26.140625" style="323" customWidth="1"/>
    <col min="2819" max="2819" width="0" style="323" hidden="1" customWidth="1"/>
    <col min="2820" max="2823" width="12.7109375" style="323" customWidth="1"/>
    <col min="2824" max="2824" width="1.7109375" style="323" customWidth="1"/>
    <col min="2825" max="2826" width="12.7109375" style="323" customWidth="1"/>
    <col min="2827" max="2827" width="8.28515625" style="323" customWidth="1"/>
    <col min="2828" max="2828" width="12.5703125" style="323" bestFit="1" customWidth="1"/>
    <col min="2829" max="2829" width="12.7109375" style="323" customWidth="1"/>
    <col min="2830" max="2830" width="1.42578125" style="323" customWidth="1"/>
    <col min="2831" max="2832" width="12.7109375" style="323" customWidth="1"/>
    <col min="2833" max="3070" width="9.140625" style="323"/>
    <col min="3071" max="3071" width="23.7109375" style="323" customWidth="1"/>
    <col min="3072" max="3072" width="7.140625" style="323" customWidth="1"/>
    <col min="3073" max="3073" width="14.5703125" style="323" customWidth="1"/>
    <col min="3074" max="3074" width="26.140625" style="323" customWidth="1"/>
    <col min="3075" max="3075" width="0" style="323" hidden="1" customWidth="1"/>
    <col min="3076" max="3079" width="12.7109375" style="323" customWidth="1"/>
    <col min="3080" max="3080" width="1.7109375" style="323" customWidth="1"/>
    <col min="3081" max="3082" width="12.7109375" style="323" customWidth="1"/>
    <col min="3083" max="3083" width="8.28515625" style="323" customWidth="1"/>
    <col min="3084" max="3084" width="12.5703125" style="323" bestFit="1" customWidth="1"/>
    <col min="3085" max="3085" width="12.7109375" style="323" customWidth="1"/>
    <col min="3086" max="3086" width="1.42578125" style="323" customWidth="1"/>
    <col min="3087" max="3088" width="12.7109375" style="323" customWidth="1"/>
    <col min="3089" max="3326" width="9.140625" style="323"/>
    <col min="3327" max="3327" width="23.7109375" style="323" customWidth="1"/>
    <col min="3328" max="3328" width="7.140625" style="323" customWidth="1"/>
    <col min="3329" max="3329" width="14.5703125" style="323" customWidth="1"/>
    <col min="3330" max="3330" width="26.140625" style="323" customWidth="1"/>
    <col min="3331" max="3331" width="0" style="323" hidden="1" customWidth="1"/>
    <col min="3332" max="3335" width="12.7109375" style="323" customWidth="1"/>
    <col min="3336" max="3336" width="1.7109375" style="323" customWidth="1"/>
    <col min="3337" max="3338" width="12.7109375" style="323" customWidth="1"/>
    <col min="3339" max="3339" width="8.28515625" style="323" customWidth="1"/>
    <col min="3340" max="3340" width="12.5703125" style="323" bestFit="1" customWidth="1"/>
    <col min="3341" max="3341" width="12.7109375" style="323" customWidth="1"/>
    <col min="3342" max="3342" width="1.42578125" style="323" customWidth="1"/>
    <col min="3343" max="3344" width="12.7109375" style="323" customWidth="1"/>
    <col min="3345" max="3582" width="9.140625" style="323"/>
    <col min="3583" max="3583" width="23.7109375" style="323" customWidth="1"/>
    <col min="3584" max="3584" width="7.140625" style="323" customWidth="1"/>
    <col min="3585" max="3585" width="14.5703125" style="323" customWidth="1"/>
    <col min="3586" max="3586" width="26.140625" style="323" customWidth="1"/>
    <col min="3587" max="3587" width="0" style="323" hidden="1" customWidth="1"/>
    <col min="3588" max="3591" width="12.7109375" style="323" customWidth="1"/>
    <col min="3592" max="3592" width="1.7109375" style="323" customWidth="1"/>
    <col min="3593" max="3594" width="12.7109375" style="323" customWidth="1"/>
    <col min="3595" max="3595" width="8.28515625" style="323" customWidth="1"/>
    <col min="3596" max="3596" width="12.5703125" style="323" bestFit="1" customWidth="1"/>
    <col min="3597" max="3597" width="12.7109375" style="323" customWidth="1"/>
    <col min="3598" max="3598" width="1.42578125" style="323" customWidth="1"/>
    <col min="3599" max="3600" width="12.7109375" style="323" customWidth="1"/>
    <col min="3601" max="3838" width="9.140625" style="323"/>
    <col min="3839" max="3839" width="23.7109375" style="323" customWidth="1"/>
    <col min="3840" max="3840" width="7.140625" style="323" customWidth="1"/>
    <col min="3841" max="3841" width="14.5703125" style="323" customWidth="1"/>
    <col min="3842" max="3842" width="26.140625" style="323" customWidth="1"/>
    <col min="3843" max="3843" width="0" style="323" hidden="1" customWidth="1"/>
    <col min="3844" max="3847" width="12.7109375" style="323" customWidth="1"/>
    <col min="3848" max="3848" width="1.7109375" style="323" customWidth="1"/>
    <col min="3849" max="3850" width="12.7109375" style="323" customWidth="1"/>
    <col min="3851" max="3851" width="8.28515625" style="323" customWidth="1"/>
    <col min="3852" max="3852" width="12.5703125" style="323" bestFit="1" customWidth="1"/>
    <col min="3853" max="3853" width="12.7109375" style="323" customWidth="1"/>
    <col min="3854" max="3854" width="1.42578125" style="323" customWidth="1"/>
    <col min="3855" max="3856" width="12.7109375" style="323" customWidth="1"/>
    <col min="3857" max="4094" width="9.140625" style="323"/>
    <col min="4095" max="4095" width="23.7109375" style="323" customWidth="1"/>
    <col min="4096" max="4096" width="7.140625" style="323" customWidth="1"/>
    <col min="4097" max="4097" width="14.5703125" style="323" customWidth="1"/>
    <col min="4098" max="4098" width="26.140625" style="323" customWidth="1"/>
    <col min="4099" max="4099" width="0" style="323" hidden="1" customWidth="1"/>
    <col min="4100" max="4103" width="12.7109375" style="323" customWidth="1"/>
    <col min="4104" max="4104" width="1.7109375" style="323" customWidth="1"/>
    <col min="4105" max="4106" width="12.7109375" style="323" customWidth="1"/>
    <col min="4107" max="4107" width="8.28515625" style="323" customWidth="1"/>
    <col min="4108" max="4108" width="12.5703125" style="323" bestFit="1" customWidth="1"/>
    <col min="4109" max="4109" width="12.7109375" style="323" customWidth="1"/>
    <col min="4110" max="4110" width="1.42578125" style="323" customWidth="1"/>
    <col min="4111" max="4112" width="12.7109375" style="323" customWidth="1"/>
    <col min="4113" max="4350" width="9.140625" style="323"/>
    <col min="4351" max="4351" width="23.7109375" style="323" customWidth="1"/>
    <col min="4352" max="4352" width="7.140625" style="323" customWidth="1"/>
    <col min="4353" max="4353" width="14.5703125" style="323" customWidth="1"/>
    <col min="4354" max="4354" width="26.140625" style="323" customWidth="1"/>
    <col min="4355" max="4355" width="0" style="323" hidden="1" customWidth="1"/>
    <col min="4356" max="4359" width="12.7109375" style="323" customWidth="1"/>
    <col min="4360" max="4360" width="1.7109375" style="323" customWidth="1"/>
    <col min="4361" max="4362" width="12.7109375" style="323" customWidth="1"/>
    <col min="4363" max="4363" width="8.28515625" style="323" customWidth="1"/>
    <col min="4364" max="4364" width="12.5703125" style="323" bestFit="1" customWidth="1"/>
    <col min="4365" max="4365" width="12.7109375" style="323" customWidth="1"/>
    <col min="4366" max="4366" width="1.42578125" style="323" customWidth="1"/>
    <col min="4367" max="4368" width="12.7109375" style="323" customWidth="1"/>
    <col min="4369" max="4606" width="9.140625" style="323"/>
    <col min="4607" max="4607" width="23.7109375" style="323" customWidth="1"/>
    <col min="4608" max="4608" width="7.140625" style="323" customWidth="1"/>
    <col min="4609" max="4609" width="14.5703125" style="323" customWidth="1"/>
    <col min="4610" max="4610" width="26.140625" style="323" customWidth="1"/>
    <col min="4611" max="4611" width="0" style="323" hidden="1" customWidth="1"/>
    <col min="4612" max="4615" width="12.7109375" style="323" customWidth="1"/>
    <col min="4616" max="4616" width="1.7109375" style="323" customWidth="1"/>
    <col min="4617" max="4618" width="12.7109375" style="323" customWidth="1"/>
    <col min="4619" max="4619" width="8.28515625" style="323" customWidth="1"/>
    <col min="4620" max="4620" width="12.5703125" style="323" bestFit="1" customWidth="1"/>
    <col min="4621" max="4621" width="12.7109375" style="323" customWidth="1"/>
    <col min="4622" max="4622" width="1.42578125" style="323" customWidth="1"/>
    <col min="4623" max="4624" width="12.7109375" style="323" customWidth="1"/>
    <col min="4625" max="4862" width="9.140625" style="323"/>
    <col min="4863" max="4863" width="23.7109375" style="323" customWidth="1"/>
    <col min="4864" max="4864" width="7.140625" style="323" customWidth="1"/>
    <col min="4865" max="4865" width="14.5703125" style="323" customWidth="1"/>
    <col min="4866" max="4866" width="26.140625" style="323" customWidth="1"/>
    <col min="4867" max="4867" width="0" style="323" hidden="1" customWidth="1"/>
    <col min="4868" max="4871" width="12.7109375" style="323" customWidth="1"/>
    <col min="4872" max="4872" width="1.7109375" style="323" customWidth="1"/>
    <col min="4873" max="4874" width="12.7109375" style="323" customWidth="1"/>
    <col min="4875" max="4875" width="8.28515625" style="323" customWidth="1"/>
    <col min="4876" max="4876" width="12.5703125" style="323" bestFit="1" customWidth="1"/>
    <col min="4877" max="4877" width="12.7109375" style="323" customWidth="1"/>
    <col min="4878" max="4878" width="1.42578125" style="323" customWidth="1"/>
    <col min="4879" max="4880" width="12.7109375" style="323" customWidth="1"/>
    <col min="4881" max="5118" width="9.140625" style="323"/>
    <col min="5119" max="5119" width="23.7109375" style="323" customWidth="1"/>
    <col min="5120" max="5120" width="7.140625" style="323" customWidth="1"/>
    <col min="5121" max="5121" width="14.5703125" style="323" customWidth="1"/>
    <col min="5122" max="5122" width="26.140625" style="323" customWidth="1"/>
    <col min="5123" max="5123" width="0" style="323" hidden="1" customWidth="1"/>
    <col min="5124" max="5127" width="12.7109375" style="323" customWidth="1"/>
    <col min="5128" max="5128" width="1.7109375" style="323" customWidth="1"/>
    <col min="5129" max="5130" width="12.7109375" style="323" customWidth="1"/>
    <col min="5131" max="5131" width="8.28515625" style="323" customWidth="1"/>
    <col min="5132" max="5132" width="12.5703125" style="323" bestFit="1" customWidth="1"/>
    <col min="5133" max="5133" width="12.7109375" style="323" customWidth="1"/>
    <col min="5134" max="5134" width="1.42578125" style="323" customWidth="1"/>
    <col min="5135" max="5136" width="12.7109375" style="323" customWidth="1"/>
    <col min="5137" max="5374" width="9.140625" style="323"/>
    <col min="5375" max="5375" width="23.7109375" style="323" customWidth="1"/>
    <col min="5376" max="5376" width="7.140625" style="323" customWidth="1"/>
    <col min="5377" max="5377" width="14.5703125" style="323" customWidth="1"/>
    <col min="5378" max="5378" width="26.140625" style="323" customWidth="1"/>
    <col min="5379" max="5379" width="0" style="323" hidden="1" customWidth="1"/>
    <col min="5380" max="5383" width="12.7109375" style="323" customWidth="1"/>
    <col min="5384" max="5384" width="1.7109375" style="323" customWidth="1"/>
    <col min="5385" max="5386" width="12.7109375" style="323" customWidth="1"/>
    <col min="5387" max="5387" width="8.28515625" style="323" customWidth="1"/>
    <col min="5388" max="5388" width="12.5703125" style="323" bestFit="1" customWidth="1"/>
    <col min="5389" max="5389" width="12.7109375" style="323" customWidth="1"/>
    <col min="5390" max="5390" width="1.42578125" style="323" customWidth="1"/>
    <col min="5391" max="5392" width="12.7109375" style="323" customWidth="1"/>
    <col min="5393" max="5630" width="9.140625" style="323"/>
    <col min="5631" max="5631" width="23.7109375" style="323" customWidth="1"/>
    <col min="5632" max="5632" width="7.140625" style="323" customWidth="1"/>
    <col min="5633" max="5633" width="14.5703125" style="323" customWidth="1"/>
    <col min="5634" max="5634" width="26.140625" style="323" customWidth="1"/>
    <col min="5635" max="5635" width="0" style="323" hidden="1" customWidth="1"/>
    <col min="5636" max="5639" width="12.7109375" style="323" customWidth="1"/>
    <col min="5640" max="5640" width="1.7109375" style="323" customWidth="1"/>
    <col min="5641" max="5642" width="12.7109375" style="323" customWidth="1"/>
    <col min="5643" max="5643" width="8.28515625" style="323" customWidth="1"/>
    <col min="5644" max="5644" width="12.5703125" style="323" bestFit="1" customWidth="1"/>
    <col min="5645" max="5645" width="12.7109375" style="323" customWidth="1"/>
    <col min="5646" max="5646" width="1.42578125" style="323" customWidth="1"/>
    <col min="5647" max="5648" width="12.7109375" style="323" customWidth="1"/>
    <col min="5649" max="5886" width="9.140625" style="323"/>
    <col min="5887" max="5887" width="23.7109375" style="323" customWidth="1"/>
    <col min="5888" max="5888" width="7.140625" style="323" customWidth="1"/>
    <col min="5889" max="5889" width="14.5703125" style="323" customWidth="1"/>
    <col min="5890" max="5890" width="26.140625" style="323" customWidth="1"/>
    <col min="5891" max="5891" width="0" style="323" hidden="1" customWidth="1"/>
    <col min="5892" max="5895" width="12.7109375" style="323" customWidth="1"/>
    <col min="5896" max="5896" width="1.7109375" style="323" customWidth="1"/>
    <col min="5897" max="5898" width="12.7109375" style="323" customWidth="1"/>
    <col min="5899" max="5899" width="8.28515625" style="323" customWidth="1"/>
    <col min="5900" max="5900" width="12.5703125" style="323" bestFit="1" customWidth="1"/>
    <col min="5901" max="5901" width="12.7109375" style="323" customWidth="1"/>
    <col min="5902" max="5902" width="1.42578125" style="323" customWidth="1"/>
    <col min="5903" max="5904" width="12.7109375" style="323" customWidth="1"/>
    <col min="5905" max="6142" width="9.140625" style="323"/>
    <col min="6143" max="6143" width="23.7109375" style="323" customWidth="1"/>
    <col min="6144" max="6144" width="7.140625" style="323" customWidth="1"/>
    <col min="6145" max="6145" width="14.5703125" style="323" customWidth="1"/>
    <col min="6146" max="6146" width="26.140625" style="323" customWidth="1"/>
    <col min="6147" max="6147" width="0" style="323" hidden="1" customWidth="1"/>
    <col min="6148" max="6151" width="12.7109375" style="323" customWidth="1"/>
    <col min="6152" max="6152" width="1.7109375" style="323" customWidth="1"/>
    <col min="6153" max="6154" width="12.7109375" style="323" customWidth="1"/>
    <col min="6155" max="6155" width="8.28515625" style="323" customWidth="1"/>
    <col min="6156" max="6156" width="12.5703125" style="323" bestFit="1" customWidth="1"/>
    <col min="6157" max="6157" width="12.7109375" style="323" customWidth="1"/>
    <col min="6158" max="6158" width="1.42578125" style="323" customWidth="1"/>
    <col min="6159" max="6160" width="12.7109375" style="323" customWidth="1"/>
    <col min="6161" max="6398" width="9.140625" style="323"/>
    <col min="6399" max="6399" width="23.7109375" style="323" customWidth="1"/>
    <col min="6400" max="6400" width="7.140625" style="323" customWidth="1"/>
    <col min="6401" max="6401" width="14.5703125" style="323" customWidth="1"/>
    <col min="6402" max="6402" width="26.140625" style="323" customWidth="1"/>
    <col min="6403" max="6403" width="0" style="323" hidden="1" customWidth="1"/>
    <col min="6404" max="6407" width="12.7109375" style="323" customWidth="1"/>
    <col min="6408" max="6408" width="1.7109375" style="323" customWidth="1"/>
    <col min="6409" max="6410" width="12.7109375" style="323" customWidth="1"/>
    <col min="6411" max="6411" width="8.28515625" style="323" customWidth="1"/>
    <col min="6412" max="6412" width="12.5703125" style="323" bestFit="1" customWidth="1"/>
    <col min="6413" max="6413" width="12.7109375" style="323" customWidth="1"/>
    <col min="6414" max="6414" width="1.42578125" style="323" customWidth="1"/>
    <col min="6415" max="6416" width="12.7109375" style="323" customWidth="1"/>
    <col min="6417" max="6654" width="9.140625" style="323"/>
    <col min="6655" max="6655" width="23.7109375" style="323" customWidth="1"/>
    <col min="6656" max="6656" width="7.140625" style="323" customWidth="1"/>
    <col min="6657" max="6657" width="14.5703125" style="323" customWidth="1"/>
    <col min="6658" max="6658" width="26.140625" style="323" customWidth="1"/>
    <col min="6659" max="6659" width="0" style="323" hidden="1" customWidth="1"/>
    <col min="6660" max="6663" width="12.7109375" style="323" customWidth="1"/>
    <col min="6664" max="6664" width="1.7109375" style="323" customWidth="1"/>
    <col min="6665" max="6666" width="12.7109375" style="323" customWidth="1"/>
    <col min="6667" max="6667" width="8.28515625" style="323" customWidth="1"/>
    <col min="6668" max="6668" width="12.5703125" style="323" bestFit="1" customWidth="1"/>
    <col min="6669" max="6669" width="12.7109375" style="323" customWidth="1"/>
    <col min="6670" max="6670" width="1.42578125" style="323" customWidth="1"/>
    <col min="6671" max="6672" width="12.7109375" style="323" customWidth="1"/>
    <col min="6673" max="6910" width="9.140625" style="323"/>
    <col min="6911" max="6911" width="23.7109375" style="323" customWidth="1"/>
    <col min="6912" max="6912" width="7.140625" style="323" customWidth="1"/>
    <col min="6913" max="6913" width="14.5703125" style="323" customWidth="1"/>
    <col min="6914" max="6914" width="26.140625" style="323" customWidth="1"/>
    <col min="6915" max="6915" width="0" style="323" hidden="1" customWidth="1"/>
    <col min="6916" max="6919" width="12.7109375" style="323" customWidth="1"/>
    <col min="6920" max="6920" width="1.7109375" style="323" customWidth="1"/>
    <col min="6921" max="6922" width="12.7109375" style="323" customWidth="1"/>
    <col min="6923" max="6923" width="8.28515625" style="323" customWidth="1"/>
    <col min="6924" max="6924" width="12.5703125" style="323" bestFit="1" customWidth="1"/>
    <col min="6925" max="6925" width="12.7109375" style="323" customWidth="1"/>
    <col min="6926" max="6926" width="1.42578125" style="323" customWidth="1"/>
    <col min="6927" max="6928" width="12.7109375" style="323" customWidth="1"/>
    <col min="6929" max="7166" width="9.140625" style="323"/>
    <col min="7167" max="7167" width="23.7109375" style="323" customWidth="1"/>
    <col min="7168" max="7168" width="7.140625" style="323" customWidth="1"/>
    <col min="7169" max="7169" width="14.5703125" style="323" customWidth="1"/>
    <col min="7170" max="7170" width="26.140625" style="323" customWidth="1"/>
    <col min="7171" max="7171" width="0" style="323" hidden="1" customWidth="1"/>
    <col min="7172" max="7175" width="12.7109375" style="323" customWidth="1"/>
    <col min="7176" max="7176" width="1.7109375" style="323" customWidth="1"/>
    <col min="7177" max="7178" width="12.7109375" style="323" customWidth="1"/>
    <col min="7179" max="7179" width="8.28515625" style="323" customWidth="1"/>
    <col min="7180" max="7180" width="12.5703125" style="323" bestFit="1" customWidth="1"/>
    <col min="7181" max="7181" width="12.7109375" style="323" customWidth="1"/>
    <col min="7182" max="7182" width="1.42578125" style="323" customWidth="1"/>
    <col min="7183" max="7184" width="12.7109375" style="323" customWidth="1"/>
    <col min="7185" max="7422" width="9.140625" style="323"/>
    <col min="7423" max="7423" width="23.7109375" style="323" customWidth="1"/>
    <col min="7424" max="7424" width="7.140625" style="323" customWidth="1"/>
    <col min="7425" max="7425" width="14.5703125" style="323" customWidth="1"/>
    <col min="7426" max="7426" width="26.140625" style="323" customWidth="1"/>
    <col min="7427" max="7427" width="0" style="323" hidden="1" customWidth="1"/>
    <col min="7428" max="7431" width="12.7109375" style="323" customWidth="1"/>
    <col min="7432" max="7432" width="1.7109375" style="323" customWidth="1"/>
    <col min="7433" max="7434" width="12.7109375" style="323" customWidth="1"/>
    <col min="7435" max="7435" width="8.28515625" style="323" customWidth="1"/>
    <col min="7436" max="7436" width="12.5703125" style="323" bestFit="1" customWidth="1"/>
    <col min="7437" max="7437" width="12.7109375" style="323" customWidth="1"/>
    <col min="7438" max="7438" width="1.42578125" style="323" customWidth="1"/>
    <col min="7439" max="7440" width="12.7109375" style="323" customWidth="1"/>
    <col min="7441" max="7678" width="9.140625" style="323"/>
    <col min="7679" max="7679" width="23.7109375" style="323" customWidth="1"/>
    <col min="7680" max="7680" width="7.140625" style="323" customWidth="1"/>
    <col min="7681" max="7681" width="14.5703125" style="323" customWidth="1"/>
    <col min="7682" max="7682" width="26.140625" style="323" customWidth="1"/>
    <col min="7683" max="7683" width="0" style="323" hidden="1" customWidth="1"/>
    <col min="7684" max="7687" width="12.7109375" style="323" customWidth="1"/>
    <col min="7688" max="7688" width="1.7109375" style="323" customWidth="1"/>
    <col min="7689" max="7690" width="12.7109375" style="323" customWidth="1"/>
    <col min="7691" max="7691" width="8.28515625" style="323" customWidth="1"/>
    <col min="7692" max="7692" width="12.5703125" style="323" bestFit="1" customWidth="1"/>
    <col min="7693" max="7693" width="12.7109375" style="323" customWidth="1"/>
    <col min="7694" max="7694" width="1.42578125" style="323" customWidth="1"/>
    <col min="7695" max="7696" width="12.7109375" style="323" customWidth="1"/>
    <col min="7697" max="7934" width="9.140625" style="323"/>
    <col min="7935" max="7935" width="23.7109375" style="323" customWidth="1"/>
    <col min="7936" max="7936" width="7.140625" style="323" customWidth="1"/>
    <col min="7937" max="7937" width="14.5703125" style="323" customWidth="1"/>
    <col min="7938" max="7938" width="26.140625" style="323" customWidth="1"/>
    <col min="7939" max="7939" width="0" style="323" hidden="1" customWidth="1"/>
    <col min="7940" max="7943" width="12.7109375" style="323" customWidth="1"/>
    <col min="7944" max="7944" width="1.7109375" style="323" customWidth="1"/>
    <col min="7945" max="7946" width="12.7109375" style="323" customWidth="1"/>
    <col min="7947" max="7947" width="8.28515625" style="323" customWidth="1"/>
    <col min="7948" max="7948" width="12.5703125" style="323" bestFit="1" customWidth="1"/>
    <col min="7949" max="7949" width="12.7109375" style="323" customWidth="1"/>
    <col min="7950" max="7950" width="1.42578125" style="323" customWidth="1"/>
    <col min="7951" max="7952" width="12.7109375" style="323" customWidth="1"/>
    <col min="7953" max="8190" width="9.140625" style="323"/>
    <col min="8191" max="8191" width="23.7109375" style="323" customWidth="1"/>
    <col min="8192" max="8192" width="7.140625" style="323" customWidth="1"/>
    <col min="8193" max="8193" width="14.5703125" style="323" customWidth="1"/>
    <col min="8194" max="8194" width="26.140625" style="323" customWidth="1"/>
    <col min="8195" max="8195" width="0" style="323" hidden="1" customWidth="1"/>
    <col min="8196" max="8199" width="12.7109375" style="323" customWidth="1"/>
    <col min="8200" max="8200" width="1.7109375" style="323" customWidth="1"/>
    <col min="8201" max="8202" width="12.7109375" style="323" customWidth="1"/>
    <col min="8203" max="8203" width="8.28515625" style="323" customWidth="1"/>
    <col min="8204" max="8204" width="12.5703125" style="323" bestFit="1" customWidth="1"/>
    <col min="8205" max="8205" width="12.7109375" style="323" customWidth="1"/>
    <col min="8206" max="8206" width="1.42578125" style="323" customWidth="1"/>
    <col min="8207" max="8208" width="12.7109375" style="323" customWidth="1"/>
    <col min="8209" max="8446" width="9.140625" style="323"/>
    <col min="8447" max="8447" width="23.7109375" style="323" customWidth="1"/>
    <col min="8448" max="8448" width="7.140625" style="323" customWidth="1"/>
    <col min="8449" max="8449" width="14.5703125" style="323" customWidth="1"/>
    <col min="8450" max="8450" width="26.140625" style="323" customWidth="1"/>
    <col min="8451" max="8451" width="0" style="323" hidden="1" customWidth="1"/>
    <col min="8452" max="8455" width="12.7109375" style="323" customWidth="1"/>
    <col min="8456" max="8456" width="1.7109375" style="323" customWidth="1"/>
    <col min="8457" max="8458" width="12.7109375" style="323" customWidth="1"/>
    <col min="8459" max="8459" width="8.28515625" style="323" customWidth="1"/>
    <col min="8460" max="8460" width="12.5703125" style="323" bestFit="1" customWidth="1"/>
    <col min="8461" max="8461" width="12.7109375" style="323" customWidth="1"/>
    <col min="8462" max="8462" width="1.42578125" style="323" customWidth="1"/>
    <col min="8463" max="8464" width="12.7109375" style="323" customWidth="1"/>
    <col min="8465" max="8702" width="9.140625" style="323"/>
    <col min="8703" max="8703" width="23.7109375" style="323" customWidth="1"/>
    <col min="8704" max="8704" width="7.140625" style="323" customWidth="1"/>
    <col min="8705" max="8705" width="14.5703125" style="323" customWidth="1"/>
    <col min="8706" max="8706" width="26.140625" style="323" customWidth="1"/>
    <col min="8707" max="8707" width="0" style="323" hidden="1" customWidth="1"/>
    <col min="8708" max="8711" width="12.7109375" style="323" customWidth="1"/>
    <col min="8712" max="8712" width="1.7109375" style="323" customWidth="1"/>
    <col min="8713" max="8714" width="12.7109375" style="323" customWidth="1"/>
    <col min="8715" max="8715" width="8.28515625" style="323" customWidth="1"/>
    <col min="8716" max="8716" width="12.5703125" style="323" bestFit="1" customWidth="1"/>
    <col min="8717" max="8717" width="12.7109375" style="323" customWidth="1"/>
    <col min="8718" max="8718" width="1.42578125" style="323" customWidth="1"/>
    <col min="8719" max="8720" width="12.7109375" style="323" customWidth="1"/>
    <col min="8721" max="8958" width="9.140625" style="323"/>
    <col min="8959" max="8959" width="23.7109375" style="323" customWidth="1"/>
    <col min="8960" max="8960" width="7.140625" style="323" customWidth="1"/>
    <col min="8961" max="8961" width="14.5703125" style="323" customWidth="1"/>
    <col min="8962" max="8962" width="26.140625" style="323" customWidth="1"/>
    <col min="8963" max="8963" width="0" style="323" hidden="1" customWidth="1"/>
    <col min="8964" max="8967" width="12.7109375" style="323" customWidth="1"/>
    <col min="8968" max="8968" width="1.7109375" style="323" customWidth="1"/>
    <col min="8969" max="8970" width="12.7109375" style="323" customWidth="1"/>
    <col min="8971" max="8971" width="8.28515625" style="323" customWidth="1"/>
    <col min="8972" max="8972" width="12.5703125" style="323" bestFit="1" customWidth="1"/>
    <col min="8973" max="8973" width="12.7109375" style="323" customWidth="1"/>
    <col min="8974" max="8974" width="1.42578125" style="323" customWidth="1"/>
    <col min="8975" max="8976" width="12.7109375" style="323" customWidth="1"/>
    <col min="8977" max="9214" width="9.140625" style="323"/>
    <col min="9215" max="9215" width="23.7109375" style="323" customWidth="1"/>
    <col min="9216" max="9216" width="7.140625" style="323" customWidth="1"/>
    <col min="9217" max="9217" width="14.5703125" style="323" customWidth="1"/>
    <col min="9218" max="9218" width="26.140625" style="323" customWidth="1"/>
    <col min="9219" max="9219" width="0" style="323" hidden="1" customWidth="1"/>
    <col min="9220" max="9223" width="12.7109375" style="323" customWidth="1"/>
    <col min="9224" max="9224" width="1.7109375" style="323" customWidth="1"/>
    <col min="9225" max="9226" width="12.7109375" style="323" customWidth="1"/>
    <col min="9227" max="9227" width="8.28515625" style="323" customWidth="1"/>
    <col min="9228" max="9228" width="12.5703125" style="323" bestFit="1" customWidth="1"/>
    <col min="9229" max="9229" width="12.7109375" style="323" customWidth="1"/>
    <col min="9230" max="9230" width="1.42578125" style="323" customWidth="1"/>
    <col min="9231" max="9232" width="12.7109375" style="323" customWidth="1"/>
    <col min="9233" max="9470" width="9.140625" style="323"/>
    <col min="9471" max="9471" width="23.7109375" style="323" customWidth="1"/>
    <col min="9472" max="9472" width="7.140625" style="323" customWidth="1"/>
    <col min="9473" max="9473" width="14.5703125" style="323" customWidth="1"/>
    <col min="9474" max="9474" width="26.140625" style="323" customWidth="1"/>
    <col min="9475" max="9475" width="0" style="323" hidden="1" customWidth="1"/>
    <col min="9476" max="9479" width="12.7109375" style="323" customWidth="1"/>
    <col min="9480" max="9480" width="1.7109375" style="323" customWidth="1"/>
    <col min="9481" max="9482" width="12.7109375" style="323" customWidth="1"/>
    <col min="9483" max="9483" width="8.28515625" style="323" customWidth="1"/>
    <col min="9484" max="9484" width="12.5703125" style="323" bestFit="1" customWidth="1"/>
    <col min="9485" max="9485" width="12.7109375" style="323" customWidth="1"/>
    <col min="9486" max="9486" width="1.42578125" style="323" customWidth="1"/>
    <col min="9487" max="9488" width="12.7109375" style="323" customWidth="1"/>
    <col min="9489" max="9726" width="9.140625" style="323"/>
    <col min="9727" max="9727" width="23.7109375" style="323" customWidth="1"/>
    <col min="9728" max="9728" width="7.140625" style="323" customWidth="1"/>
    <col min="9729" max="9729" width="14.5703125" style="323" customWidth="1"/>
    <col min="9730" max="9730" width="26.140625" style="323" customWidth="1"/>
    <col min="9731" max="9731" width="0" style="323" hidden="1" customWidth="1"/>
    <col min="9732" max="9735" width="12.7109375" style="323" customWidth="1"/>
    <col min="9736" max="9736" width="1.7109375" style="323" customWidth="1"/>
    <col min="9737" max="9738" width="12.7109375" style="323" customWidth="1"/>
    <col min="9739" max="9739" width="8.28515625" style="323" customWidth="1"/>
    <col min="9740" max="9740" width="12.5703125" style="323" bestFit="1" customWidth="1"/>
    <col min="9741" max="9741" width="12.7109375" style="323" customWidth="1"/>
    <col min="9742" max="9742" width="1.42578125" style="323" customWidth="1"/>
    <col min="9743" max="9744" width="12.7109375" style="323" customWidth="1"/>
    <col min="9745" max="9982" width="9.140625" style="323"/>
    <col min="9983" max="9983" width="23.7109375" style="323" customWidth="1"/>
    <col min="9984" max="9984" width="7.140625" style="323" customWidth="1"/>
    <col min="9985" max="9985" width="14.5703125" style="323" customWidth="1"/>
    <col min="9986" max="9986" width="26.140625" style="323" customWidth="1"/>
    <col min="9987" max="9987" width="0" style="323" hidden="1" customWidth="1"/>
    <col min="9988" max="9991" width="12.7109375" style="323" customWidth="1"/>
    <col min="9992" max="9992" width="1.7109375" style="323" customWidth="1"/>
    <col min="9993" max="9994" width="12.7109375" style="323" customWidth="1"/>
    <col min="9995" max="9995" width="8.28515625" style="323" customWidth="1"/>
    <col min="9996" max="9996" width="12.5703125" style="323" bestFit="1" customWidth="1"/>
    <col min="9997" max="9997" width="12.7109375" style="323" customWidth="1"/>
    <col min="9998" max="9998" width="1.42578125" style="323" customWidth="1"/>
    <col min="9999" max="10000" width="12.7109375" style="323" customWidth="1"/>
    <col min="10001" max="10238" width="9.140625" style="323"/>
    <col min="10239" max="10239" width="23.7109375" style="323" customWidth="1"/>
    <col min="10240" max="10240" width="7.140625" style="323" customWidth="1"/>
    <col min="10241" max="10241" width="14.5703125" style="323" customWidth="1"/>
    <col min="10242" max="10242" width="26.140625" style="323" customWidth="1"/>
    <col min="10243" max="10243" width="0" style="323" hidden="1" customWidth="1"/>
    <col min="10244" max="10247" width="12.7109375" style="323" customWidth="1"/>
    <col min="10248" max="10248" width="1.7109375" style="323" customWidth="1"/>
    <col min="10249" max="10250" width="12.7109375" style="323" customWidth="1"/>
    <col min="10251" max="10251" width="8.28515625" style="323" customWidth="1"/>
    <col min="10252" max="10252" width="12.5703125" style="323" bestFit="1" customWidth="1"/>
    <col min="10253" max="10253" width="12.7109375" style="323" customWidth="1"/>
    <col min="10254" max="10254" width="1.42578125" style="323" customWidth="1"/>
    <col min="10255" max="10256" width="12.7109375" style="323" customWidth="1"/>
    <col min="10257" max="10494" width="9.140625" style="323"/>
    <col min="10495" max="10495" width="23.7109375" style="323" customWidth="1"/>
    <col min="10496" max="10496" width="7.140625" style="323" customWidth="1"/>
    <col min="10497" max="10497" width="14.5703125" style="323" customWidth="1"/>
    <col min="10498" max="10498" width="26.140625" style="323" customWidth="1"/>
    <col min="10499" max="10499" width="0" style="323" hidden="1" customWidth="1"/>
    <col min="10500" max="10503" width="12.7109375" style="323" customWidth="1"/>
    <col min="10504" max="10504" width="1.7109375" style="323" customWidth="1"/>
    <col min="10505" max="10506" width="12.7109375" style="323" customWidth="1"/>
    <col min="10507" max="10507" width="8.28515625" style="323" customWidth="1"/>
    <col min="10508" max="10508" width="12.5703125" style="323" bestFit="1" customWidth="1"/>
    <col min="10509" max="10509" width="12.7109375" style="323" customWidth="1"/>
    <col min="10510" max="10510" width="1.42578125" style="323" customWidth="1"/>
    <col min="10511" max="10512" width="12.7109375" style="323" customWidth="1"/>
    <col min="10513" max="10750" width="9.140625" style="323"/>
    <col min="10751" max="10751" width="23.7109375" style="323" customWidth="1"/>
    <col min="10752" max="10752" width="7.140625" style="323" customWidth="1"/>
    <col min="10753" max="10753" width="14.5703125" style="323" customWidth="1"/>
    <col min="10754" max="10754" width="26.140625" style="323" customWidth="1"/>
    <col min="10755" max="10755" width="0" style="323" hidden="1" customWidth="1"/>
    <col min="10756" max="10759" width="12.7109375" style="323" customWidth="1"/>
    <col min="10760" max="10760" width="1.7109375" style="323" customWidth="1"/>
    <col min="10761" max="10762" width="12.7109375" style="323" customWidth="1"/>
    <col min="10763" max="10763" width="8.28515625" style="323" customWidth="1"/>
    <col min="10764" max="10764" width="12.5703125" style="323" bestFit="1" customWidth="1"/>
    <col min="10765" max="10765" width="12.7109375" style="323" customWidth="1"/>
    <col min="10766" max="10766" width="1.42578125" style="323" customWidth="1"/>
    <col min="10767" max="10768" width="12.7109375" style="323" customWidth="1"/>
    <col min="10769" max="11006" width="9.140625" style="323"/>
    <col min="11007" max="11007" width="23.7109375" style="323" customWidth="1"/>
    <col min="11008" max="11008" width="7.140625" style="323" customWidth="1"/>
    <col min="11009" max="11009" width="14.5703125" style="323" customWidth="1"/>
    <col min="11010" max="11010" width="26.140625" style="323" customWidth="1"/>
    <col min="11011" max="11011" width="0" style="323" hidden="1" customWidth="1"/>
    <col min="11012" max="11015" width="12.7109375" style="323" customWidth="1"/>
    <col min="11016" max="11016" width="1.7109375" style="323" customWidth="1"/>
    <col min="11017" max="11018" width="12.7109375" style="323" customWidth="1"/>
    <col min="11019" max="11019" width="8.28515625" style="323" customWidth="1"/>
    <col min="11020" max="11020" width="12.5703125" style="323" bestFit="1" customWidth="1"/>
    <col min="11021" max="11021" width="12.7109375" style="323" customWidth="1"/>
    <col min="11022" max="11022" width="1.42578125" style="323" customWidth="1"/>
    <col min="11023" max="11024" width="12.7109375" style="323" customWidth="1"/>
    <col min="11025" max="11262" width="9.140625" style="323"/>
    <col min="11263" max="11263" width="23.7109375" style="323" customWidth="1"/>
    <col min="11264" max="11264" width="7.140625" style="323" customWidth="1"/>
    <col min="11265" max="11265" width="14.5703125" style="323" customWidth="1"/>
    <col min="11266" max="11266" width="26.140625" style="323" customWidth="1"/>
    <col min="11267" max="11267" width="0" style="323" hidden="1" customWidth="1"/>
    <col min="11268" max="11271" width="12.7109375" style="323" customWidth="1"/>
    <col min="11272" max="11272" width="1.7109375" style="323" customWidth="1"/>
    <col min="11273" max="11274" width="12.7109375" style="323" customWidth="1"/>
    <col min="11275" max="11275" width="8.28515625" style="323" customWidth="1"/>
    <col min="11276" max="11276" width="12.5703125" style="323" bestFit="1" customWidth="1"/>
    <col min="11277" max="11277" width="12.7109375" style="323" customWidth="1"/>
    <col min="11278" max="11278" width="1.42578125" style="323" customWidth="1"/>
    <col min="11279" max="11280" width="12.7109375" style="323" customWidth="1"/>
    <col min="11281" max="11518" width="9.140625" style="323"/>
    <col min="11519" max="11519" width="23.7109375" style="323" customWidth="1"/>
    <col min="11520" max="11520" width="7.140625" style="323" customWidth="1"/>
    <col min="11521" max="11521" width="14.5703125" style="323" customWidth="1"/>
    <col min="11522" max="11522" width="26.140625" style="323" customWidth="1"/>
    <col min="11523" max="11523" width="0" style="323" hidden="1" customWidth="1"/>
    <col min="11524" max="11527" width="12.7109375" style="323" customWidth="1"/>
    <col min="11528" max="11528" width="1.7109375" style="323" customWidth="1"/>
    <col min="11529" max="11530" width="12.7109375" style="323" customWidth="1"/>
    <col min="11531" max="11531" width="8.28515625" style="323" customWidth="1"/>
    <col min="11532" max="11532" width="12.5703125" style="323" bestFit="1" customWidth="1"/>
    <col min="11533" max="11533" width="12.7109375" style="323" customWidth="1"/>
    <col min="11534" max="11534" width="1.42578125" style="323" customWidth="1"/>
    <col min="11535" max="11536" width="12.7109375" style="323" customWidth="1"/>
    <col min="11537" max="11774" width="9.140625" style="323"/>
    <col min="11775" max="11775" width="23.7109375" style="323" customWidth="1"/>
    <col min="11776" max="11776" width="7.140625" style="323" customWidth="1"/>
    <col min="11777" max="11777" width="14.5703125" style="323" customWidth="1"/>
    <col min="11778" max="11778" width="26.140625" style="323" customWidth="1"/>
    <col min="11779" max="11779" width="0" style="323" hidden="1" customWidth="1"/>
    <col min="11780" max="11783" width="12.7109375" style="323" customWidth="1"/>
    <col min="11784" max="11784" width="1.7109375" style="323" customWidth="1"/>
    <col min="11785" max="11786" width="12.7109375" style="323" customWidth="1"/>
    <col min="11787" max="11787" width="8.28515625" style="323" customWidth="1"/>
    <col min="11788" max="11788" width="12.5703125" style="323" bestFit="1" customWidth="1"/>
    <col min="11789" max="11789" width="12.7109375" style="323" customWidth="1"/>
    <col min="11790" max="11790" width="1.42578125" style="323" customWidth="1"/>
    <col min="11791" max="11792" width="12.7109375" style="323" customWidth="1"/>
    <col min="11793" max="12030" width="9.140625" style="323"/>
    <col min="12031" max="12031" width="23.7109375" style="323" customWidth="1"/>
    <col min="12032" max="12032" width="7.140625" style="323" customWidth="1"/>
    <col min="12033" max="12033" width="14.5703125" style="323" customWidth="1"/>
    <col min="12034" max="12034" width="26.140625" style="323" customWidth="1"/>
    <col min="12035" max="12035" width="0" style="323" hidden="1" customWidth="1"/>
    <col min="12036" max="12039" width="12.7109375" style="323" customWidth="1"/>
    <col min="12040" max="12040" width="1.7109375" style="323" customWidth="1"/>
    <col min="12041" max="12042" width="12.7109375" style="323" customWidth="1"/>
    <col min="12043" max="12043" width="8.28515625" style="323" customWidth="1"/>
    <col min="12044" max="12044" width="12.5703125" style="323" bestFit="1" customWidth="1"/>
    <col min="12045" max="12045" width="12.7109375" style="323" customWidth="1"/>
    <col min="12046" max="12046" width="1.42578125" style="323" customWidth="1"/>
    <col min="12047" max="12048" width="12.7109375" style="323" customWidth="1"/>
    <col min="12049" max="12286" width="9.140625" style="323"/>
    <col min="12287" max="12287" width="23.7109375" style="323" customWidth="1"/>
    <col min="12288" max="12288" width="7.140625" style="323" customWidth="1"/>
    <col min="12289" max="12289" width="14.5703125" style="323" customWidth="1"/>
    <col min="12290" max="12290" width="26.140625" style="323" customWidth="1"/>
    <col min="12291" max="12291" width="0" style="323" hidden="1" customWidth="1"/>
    <col min="12292" max="12295" width="12.7109375" style="323" customWidth="1"/>
    <col min="12296" max="12296" width="1.7109375" style="323" customWidth="1"/>
    <col min="12297" max="12298" width="12.7109375" style="323" customWidth="1"/>
    <col min="12299" max="12299" width="8.28515625" style="323" customWidth="1"/>
    <col min="12300" max="12300" width="12.5703125" style="323" bestFit="1" customWidth="1"/>
    <col min="12301" max="12301" width="12.7109375" style="323" customWidth="1"/>
    <col min="12302" max="12302" width="1.42578125" style="323" customWidth="1"/>
    <col min="12303" max="12304" width="12.7109375" style="323" customWidth="1"/>
    <col min="12305" max="12542" width="9.140625" style="323"/>
    <col min="12543" max="12543" width="23.7109375" style="323" customWidth="1"/>
    <col min="12544" max="12544" width="7.140625" style="323" customWidth="1"/>
    <col min="12545" max="12545" width="14.5703125" style="323" customWidth="1"/>
    <col min="12546" max="12546" width="26.140625" style="323" customWidth="1"/>
    <col min="12547" max="12547" width="0" style="323" hidden="1" customWidth="1"/>
    <col min="12548" max="12551" width="12.7109375" style="323" customWidth="1"/>
    <col min="12552" max="12552" width="1.7109375" style="323" customWidth="1"/>
    <col min="12553" max="12554" width="12.7109375" style="323" customWidth="1"/>
    <col min="12555" max="12555" width="8.28515625" style="323" customWidth="1"/>
    <col min="12556" max="12556" width="12.5703125" style="323" bestFit="1" customWidth="1"/>
    <col min="12557" max="12557" width="12.7109375" style="323" customWidth="1"/>
    <col min="12558" max="12558" width="1.42578125" style="323" customWidth="1"/>
    <col min="12559" max="12560" width="12.7109375" style="323" customWidth="1"/>
    <col min="12561" max="12798" width="9.140625" style="323"/>
    <col min="12799" max="12799" width="23.7109375" style="323" customWidth="1"/>
    <col min="12800" max="12800" width="7.140625" style="323" customWidth="1"/>
    <col min="12801" max="12801" width="14.5703125" style="323" customWidth="1"/>
    <col min="12802" max="12802" width="26.140625" style="323" customWidth="1"/>
    <col min="12803" max="12803" width="0" style="323" hidden="1" customWidth="1"/>
    <col min="12804" max="12807" width="12.7109375" style="323" customWidth="1"/>
    <col min="12808" max="12808" width="1.7109375" style="323" customWidth="1"/>
    <col min="12809" max="12810" width="12.7109375" style="323" customWidth="1"/>
    <col min="12811" max="12811" width="8.28515625" style="323" customWidth="1"/>
    <col min="12812" max="12812" width="12.5703125" style="323" bestFit="1" customWidth="1"/>
    <col min="12813" max="12813" width="12.7109375" style="323" customWidth="1"/>
    <col min="12814" max="12814" width="1.42578125" style="323" customWidth="1"/>
    <col min="12815" max="12816" width="12.7109375" style="323" customWidth="1"/>
    <col min="12817" max="13054" width="9.140625" style="323"/>
    <col min="13055" max="13055" width="23.7109375" style="323" customWidth="1"/>
    <col min="13056" max="13056" width="7.140625" style="323" customWidth="1"/>
    <col min="13057" max="13057" width="14.5703125" style="323" customWidth="1"/>
    <col min="13058" max="13058" width="26.140625" style="323" customWidth="1"/>
    <col min="13059" max="13059" width="0" style="323" hidden="1" customWidth="1"/>
    <col min="13060" max="13063" width="12.7109375" style="323" customWidth="1"/>
    <col min="13064" max="13064" width="1.7109375" style="323" customWidth="1"/>
    <col min="13065" max="13066" width="12.7109375" style="323" customWidth="1"/>
    <col min="13067" max="13067" width="8.28515625" style="323" customWidth="1"/>
    <col min="13068" max="13068" width="12.5703125" style="323" bestFit="1" customWidth="1"/>
    <col min="13069" max="13069" width="12.7109375" style="323" customWidth="1"/>
    <col min="13070" max="13070" width="1.42578125" style="323" customWidth="1"/>
    <col min="13071" max="13072" width="12.7109375" style="323" customWidth="1"/>
    <col min="13073" max="13310" width="9.140625" style="323"/>
    <col min="13311" max="13311" width="23.7109375" style="323" customWidth="1"/>
    <col min="13312" max="13312" width="7.140625" style="323" customWidth="1"/>
    <col min="13313" max="13313" width="14.5703125" style="323" customWidth="1"/>
    <col min="13314" max="13314" width="26.140625" style="323" customWidth="1"/>
    <col min="13315" max="13315" width="0" style="323" hidden="1" customWidth="1"/>
    <col min="13316" max="13319" width="12.7109375" style="323" customWidth="1"/>
    <col min="13320" max="13320" width="1.7109375" style="323" customWidth="1"/>
    <col min="13321" max="13322" width="12.7109375" style="323" customWidth="1"/>
    <col min="13323" max="13323" width="8.28515625" style="323" customWidth="1"/>
    <col min="13324" max="13324" width="12.5703125" style="323" bestFit="1" customWidth="1"/>
    <col min="13325" max="13325" width="12.7109375" style="323" customWidth="1"/>
    <col min="13326" max="13326" width="1.42578125" style="323" customWidth="1"/>
    <col min="13327" max="13328" width="12.7109375" style="323" customWidth="1"/>
    <col min="13329" max="13566" width="9.140625" style="323"/>
    <col min="13567" max="13567" width="23.7109375" style="323" customWidth="1"/>
    <col min="13568" max="13568" width="7.140625" style="323" customWidth="1"/>
    <col min="13569" max="13569" width="14.5703125" style="323" customWidth="1"/>
    <col min="13570" max="13570" width="26.140625" style="323" customWidth="1"/>
    <col min="13571" max="13571" width="0" style="323" hidden="1" customWidth="1"/>
    <col min="13572" max="13575" width="12.7109375" style="323" customWidth="1"/>
    <col min="13576" max="13576" width="1.7109375" style="323" customWidth="1"/>
    <col min="13577" max="13578" width="12.7109375" style="323" customWidth="1"/>
    <col min="13579" max="13579" width="8.28515625" style="323" customWidth="1"/>
    <col min="13580" max="13580" width="12.5703125" style="323" bestFit="1" customWidth="1"/>
    <col min="13581" max="13581" width="12.7109375" style="323" customWidth="1"/>
    <col min="13582" max="13582" width="1.42578125" style="323" customWidth="1"/>
    <col min="13583" max="13584" width="12.7109375" style="323" customWidth="1"/>
    <col min="13585" max="13822" width="9.140625" style="323"/>
    <col min="13823" max="13823" width="23.7109375" style="323" customWidth="1"/>
    <col min="13824" max="13824" width="7.140625" style="323" customWidth="1"/>
    <col min="13825" max="13825" width="14.5703125" style="323" customWidth="1"/>
    <col min="13826" max="13826" width="26.140625" style="323" customWidth="1"/>
    <col min="13827" max="13827" width="0" style="323" hidden="1" customWidth="1"/>
    <col min="13828" max="13831" width="12.7109375" style="323" customWidth="1"/>
    <col min="13832" max="13832" width="1.7109375" style="323" customWidth="1"/>
    <col min="13833" max="13834" width="12.7109375" style="323" customWidth="1"/>
    <col min="13835" max="13835" width="8.28515625" style="323" customWidth="1"/>
    <col min="13836" max="13836" width="12.5703125" style="323" bestFit="1" customWidth="1"/>
    <col min="13837" max="13837" width="12.7109375" style="323" customWidth="1"/>
    <col min="13838" max="13838" width="1.42578125" style="323" customWidth="1"/>
    <col min="13839" max="13840" width="12.7109375" style="323" customWidth="1"/>
    <col min="13841" max="14078" width="9.140625" style="323"/>
    <col min="14079" max="14079" width="23.7109375" style="323" customWidth="1"/>
    <col min="14080" max="14080" width="7.140625" style="323" customWidth="1"/>
    <col min="14081" max="14081" width="14.5703125" style="323" customWidth="1"/>
    <col min="14082" max="14082" width="26.140625" style="323" customWidth="1"/>
    <col min="14083" max="14083" width="0" style="323" hidden="1" customWidth="1"/>
    <col min="14084" max="14087" width="12.7109375" style="323" customWidth="1"/>
    <col min="14088" max="14088" width="1.7109375" style="323" customWidth="1"/>
    <col min="14089" max="14090" width="12.7109375" style="323" customWidth="1"/>
    <col min="14091" max="14091" width="8.28515625" style="323" customWidth="1"/>
    <col min="14092" max="14092" width="12.5703125" style="323" bestFit="1" customWidth="1"/>
    <col min="14093" max="14093" width="12.7109375" style="323" customWidth="1"/>
    <col min="14094" max="14094" width="1.42578125" style="323" customWidth="1"/>
    <col min="14095" max="14096" width="12.7109375" style="323" customWidth="1"/>
    <col min="14097" max="14334" width="9.140625" style="323"/>
    <col min="14335" max="14335" width="23.7109375" style="323" customWidth="1"/>
    <col min="14336" max="14336" width="7.140625" style="323" customWidth="1"/>
    <col min="14337" max="14337" width="14.5703125" style="323" customWidth="1"/>
    <col min="14338" max="14338" width="26.140625" style="323" customWidth="1"/>
    <col min="14339" max="14339" width="0" style="323" hidden="1" customWidth="1"/>
    <col min="14340" max="14343" width="12.7109375" style="323" customWidth="1"/>
    <col min="14344" max="14344" width="1.7109375" style="323" customWidth="1"/>
    <col min="14345" max="14346" width="12.7109375" style="323" customWidth="1"/>
    <col min="14347" max="14347" width="8.28515625" style="323" customWidth="1"/>
    <col min="14348" max="14348" width="12.5703125" style="323" bestFit="1" customWidth="1"/>
    <col min="14349" max="14349" width="12.7109375" style="323" customWidth="1"/>
    <col min="14350" max="14350" width="1.42578125" style="323" customWidth="1"/>
    <col min="14351" max="14352" width="12.7109375" style="323" customWidth="1"/>
    <col min="14353" max="14590" width="9.140625" style="323"/>
    <col min="14591" max="14591" width="23.7109375" style="323" customWidth="1"/>
    <col min="14592" max="14592" width="7.140625" style="323" customWidth="1"/>
    <col min="14593" max="14593" width="14.5703125" style="323" customWidth="1"/>
    <col min="14594" max="14594" width="26.140625" style="323" customWidth="1"/>
    <col min="14595" max="14595" width="0" style="323" hidden="1" customWidth="1"/>
    <col min="14596" max="14599" width="12.7109375" style="323" customWidth="1"/>
    <col min="14600" max="14600" width="1.7109375" style="323" customWidth="1"/>
    <col min="14601" max="14602" width="12.7109375" style="323" customWidth="1"/>
    <col min="14603" max="14603" width="8.28515625" style="323" customWidth="1"/>
    <col min="14604" max="14604" width="12.5703125" style="323" bestFit="1" customWidth="1"/>
    <col min="14605" max="14605" width="12.7109375" style="323" customWidth="1"/>
    <col min="14606" max="14606" width="1.42578125" style="323" customWidth="1"/>
    <col min="14607" max="14608" width="12.7109375" style="323" customWidth="1"/>
    <col min="14609" max="14846" width="9.140625" style="323"/>
    <col min="14847" max="14847" width="23.7109375" style="323" customWidth="1"/>
    <col min="14848" max="14848" width="7.140625" style="323" customWidth="1"/>
    <col min="14849" max="14849" width="14.5703125" style="323" customWidth="1"/>
    <col min="14850" max="14850" width="26.140625" style="323" customWidth="1"/>
    <col min="14851" max="14851" width="0" style="323" hidden="1" customWidth="1"/>
    <col min="14852" max="14855" width="12.7109375" style="323" customWidth="1"/>
    <col min="14856" max="14856" width="1.7109375" style="323" customWidth="1"/>
    <col min="14857" max="14858" width="12.7109375" style="323" customWidth="1"/>
    <col min="14859" max="14859" width="8.28515625" style="323" customWidth="1"/>
    <col min="14860" max="14860" width="12.5703125" style="323" bestFit="1" customWidth="1"/>
    <col min="14861" max="14861" width="12.7109375" style="323" customWidth="1"/>
    <col min="14862" max="14862" width="1.42578125" style="323" customWidth="1"/>
    <col min="14863" max="14864" width="12.7109375" style="323" customWidth="1"/>
    <col min="14865" max="15102" width="9.140625" style="323"/>
    <col min="15103" max="15103" width="23.7109375" style="323" customWidth="1"/>
    <col min="15104" max="15104" width="7.140625" style="323" customWidth="1"/>
    <col min="15105" max="15105" width="14.5703125" style="323" customWidth="1"/>
    <col min="15106" max="15106" width="26.140625" style="323" customWidth="1"/>
    <col min="15107" max="15107" width="0" style="323" hidden="1" customWidth="1"/>
    <col min="15108" max="15111" width="12.7109375" style="323" customWidth="1"/>
    <col min="15112" max="15112" width="1.7109375" style="323" customWidth="1"/>
    <col min="15113" max="15114" width="12.7109375" style="323" customWidth="1"/>
    <col min="15115" max="15115" width="8.28515625" style="323" customWidth="1"/>
    <col min="15116" max="15116" width="12.5703125" style="323" bestFit="1" customWidth="1"/>
    <col min="15117" max="15117" width="12.7109375" style="323" customWidth="1"/>
    <col min="15118" max="15118" width="1.42578125" style="323" customWidth="1"/>
    <col min="15119" max="15120" width="12.7109375" style="323" customWidth="1"/>
    <col min="15121" max="15358" width="9.140625" style="323"/>
    <col min="15359" max="15359" width="23.7109375" style="323" customWidth="1"/>
    <col min="15360" max="15360" width="7.140625" style="323" customWidth="1"/>
    <col min="15361" max="15361" width="14.5703125" style="323" customWidth="1"/>
    <col min="15362" max="15362" width="26.140625" style="323" customWidth="1"/>
    <col min="15363" max="15363" width="0" style="323" hidden="1" customWidth="1"/>
    <col min="15364" max="15367" width="12.7109375" style="323" customWidth="1"/>
    <col min="15368" max="15368" width="1.7109375" style="323" customWidth="1"/>
    <col min="15369" max="15370" width="12.7109375" style="323" customWidth="1"/>
    <col min="15371" max="15371" width="8.28515625" style="323" customWidth="1"/>
    <col min="15372" max="15372" width="12.5703125" style="323" bestFit="1" customWidth="1"/>
    <col min="15373" max="15373" width="12.7109375" style="323" customWidth="1"/>
    <col min="15374" max="15374" width="1.42578125" style="323" customWidth="1"/>
    <col min="15375" max="15376" width="12.7109375" style="323" customWidth="1"/>
    <col min="15377" max="15614" width="9.140625" style="323"/>
    <col min="15615" max="15615" width="23.7109375" style="323" customWidth="1"/>
    <col min="15616" max="15616" width="7.140625" style="323" customWidth="1"/>
    <col min="15617" max="15617" width="14.5703125" style="323" customWidth="1"/>
    <col min="15618" max="15618" width="26.140625" style="323" customWidth="1"/>
    <col min="15619" max="15619" width="0" style="323" hidden="1" customWidth="1"/>
    <col min="15620" max="15623" width="12.7109375" style="323" customWidth="1"/>
    <col min="15624" max="15624" width="1.7109375" style="323" customWidth="1"/>
    <col min="15625" max="15626" width="12.7109375" style="323" customWidth="1"/>
    <col min="15627" max="15627" width="8.28515625" style="323" customWidth="1"/>
    <col min="15628" max="15628" width="12.5703125" style="323" bestFit="1" customWidth="1"/>
    <col min="15629" max="15629" width="12.7109375" style="323" customWidth="1"/>
    <col min="15630" max="15630" width="1.42578125" style="323" customWidth="1"/>
    <col min="15631" max="15632" width="12.7109375" style="323" customWidth="1"/>
    <col min="15633" max="15870" width="9.140625" style="323"/>
    <col min="15871" max="15871" width="23.7109375" style="323" customWidth="1"/>
    <col min="15872" max="15872" width="7.140625" style="323" customWidth="1"/>
    <col min="15873" max="15873" width="14.5703125" style="323" customWidth="1"/>
    <col min="15874" max="15874" width="26.140625" style="323" customWidth="1"/>
    <col min="15875" max="15875" width="0" style="323" hidden="1" customWidth="1"/>
    <col min="15876" max="15879" width="12.7109375" style="323" customWidth="1"/>
    <col min="15880" max="15880" width="1.7109375" style="323" customWidth="1"/>
    <col min="15881" max="15882" width="12.7109375" style="323" customWidth="1"/>
    <col min="15883" max="15883" width="8.28515625" style="323" customWidth="1"/>
    <col min="15884" max="15884" width="12.5703125" style="323" bestFit="1" customWidth="1"/>
    <col min="15885" max="15885" width="12.7109375" style="323" customWidth="1"/>
    <col min="15886" max="15886" width="1.42578125" style="323" customWidth="1"/>
    <col min="15887" max="15888" width="12.7109375" style="323" customWidth="1"/>
    <col min="15889" max="16126" width="9.140625" style="323"/>
    <col min="16127" max="16127" width="23.7109375" style="323" customWidth="1"/>
    <col min="16128" max="16128" width="7.140625" style="323" customWidth="1"/>
    <col min="16129" max="16129" width="14.5703125" style="323" customWidth="1"/>
    <col min="16130" max="16130" width="26.140625" style="323" customWidth="1"/>
    <col min="16131" max="16131" width="0" style="323" hidden="1" customWidth="1"/>
    <col min="16132" max="16135" width="12.7109375" style="323" customWidth="1"/>
    <col min="16136" max="16136" width="1.7109375" style="323" customWidth="1"/>
    <col min="16137" max="16138" width="12.7109375" style="323" customWidth="1"/>
    <col min="16139" max="16139" width="8.28515625" style="323" customWidth="1"/>
    <col min="16140" max="16140" width="12.5703125" style="323" bestFit="1" customWidth="1"/>
    <col min="16141" max="16141" width="12.7109375" style="323" customWidth="1"/>
    <col min="16142" max="16142" width="1.42578125" style="323" customWidth="1"/>
    <col min="16143" max="16144" width="12.7109375" style="323" customWidth="1"/>
    <col min="16145" max="16384" width="9.140625" style="323"/>
  </cols>
  <sheetData>
    <row r="1" spans="1:22">
      <c r="A1" s="59" t="s">
        <v>1650</v>
      </c>
      <c r="B1" s="363"/>
      <c r="C1" s="363" t="s">
        <v>1067</v>
      </c>
      <c r="D1" s="362"/>
      <c r="E1" s="586" t="s">
        <v>0</v>
      </c>
    </row>
    <row r="2" spans="1:22" ht="15.75">
      <c r="A2" s="323">
        <v>16</v>
      </c>
      <c r="F2" s="403" t="str">
        <f>UPPER(COA!B2)</f>
        <v>ANONYMOUS COMPANY</v>
      </c>
      <c r="G2" s="514"/>
      <c r="H2" s="514"/>
      <c r="I2" s="514"/>
      <c r="J2" s="514"/>
      <c r="K2" s="514"/>
      <c r="L2" s="514"/>
      <c r="M2" s="514"/>
      <c r="N2" s="514"/>
      <c r="O2" s="514"/>
      <c r="P2" s="514"/>
      <c r="Q2" s="514"/>
      <c r="R2" s="514"/>
      <c r="S2" s="514"/>
      <c r="T2" s="514"/>
    </row>
    <row r="3" spans="1:22" ht="15.75">
      <c r="B3" s="323" t="s">
        <v>0</v>
      </c>
      <c r="F3" s="517" t="str" cm="1">
        <f t="array" ref="F3">IFERROR(INDEX(M_COA[ACCOUNT],A2),0)</f>
        <v>CAPITAL ASSETS</v>
      </c>
      <c r="G3" s="515"/>
      <c r="H3" s="515"/>
      <c r="I3" s="515"/>
      <c r="J3" s="515"/>
      <c r="K3" s="515"/>
      <c r="L3" s="515"/>
      <c r="M3" s="515"/>
      <c r="N3" s="515"/>
      <c r="O3" s="515"/>
      <c r="P3" s="515"/>
      <c r="Q3" s="515"/>
      <c r="R3" s="515"/>
      <c r="S3" s="515"/>
      <c r="T3" s="515"/>
    </row>
    <row r="4" spans="1:22" ht="13.5" thickBot="1">
      <c r="F4" s="407" t="str">
        <f>"FOR THE YEAR ENDED "&amp;UPPER(TEXT(COA!$B$4,"MMMM DD, YYYY"))</f>
        <v>FOR THE YEAR ENDED DECEMBER 31, 2025</v>
      </c>
      <c r="G4" s="516"/>
      <c r="H4" s="516"/>
      <c r="I4" s="516"/>
      <c r="J4" s="516"/>
      <c r="K4" s="516"/>
      <c r="L4" s="516"/>
      <c r="M4" s="516"/>
      <c r="N4" s="516"/>
      <c r="O4" s="516"/>
      <c r="P4" s="516"/>
      <c r="Q4" s="516"/>
      <c r="R4" s="516"/>
      <c r="S4" s="516"/>
      <c r="T4" s="516"/>
    </row>
    <row r="5" spans="1:22" ht="120.75" customHeight="1">
      <c r="F5" s="1308" t="s">
        <v>349</v>
      </c>
      <c r="G5" s="1308"/>
      <c r="H5" s="1308"/>
      <c r="I5" s="1308"/>
      <c r="J5" s="1308"/>
      <c r="K5" s="1308"/>
      <c r="L5" s="1308"/>
      <c r="M5" s="1308"/>
      <c r="N5" s="1308"/>
      <c r="O5" s="1308"/>
      <c r="P5" s="1308"/>
      <c r="Q5" s="1308"/>
      <c r="R5" s="1308"/>
      <c r="S5" s="1308"/>
      <c r="T5" s="1308"/>
    </row>
    <row r="9" spans="1:22" ht="13.5" thickBot="1">
      <c r="B9" s="1309" t="s">
        <v>350</v>
      </c>
      <c r="C9" s="1309"/>
      <c r="D9" s="1309"/>
      <c r="F9" s="114" t="s">
        <v>51</v>
      </c>
      <c r="H9" s="1309" t="s">
        <v>52</v>
      </c>
      <c r="I9" s="1309"/>
      <c r="J9" s="1309"/>
      <c r="K9" s="1309"/>
      <c r="M9" s="1309" t="s">
        <v>314</v>
      </c>
      <c r="N9" s="1309"/>
      <c r="O9" s="1309"/>
      <c r="P9" s="1309"/>
      <c r="Q9" s="1309"/>
      <c r="S9" s="1309" t="s">
        <v>53</v>
      </c>
      <c r="T9" s="1309"/>
    </row>
    <row r="11" spans="1:22" ht="50.25" customHeight="1">
      <c r="B11" s="395" t="s">
        <v>351</v>
      </c>
      <c r="C11" s="395" t="s">
        <v>352</v>
      </c>
      <c r="D11" s="395" t="s">
        <v>353</v>
      </c>
      <c r="E11" s="396" t="s">
        <v>354</v>
      </c>
      <c r="F11" s="324" t="s">
        <v>54</v>
      </c>
      <c r="G11" s="327" t="s">
        <v>0</v>
      </c>
      <c r="H11" s="300" t="s">
        <v>309</v>
      </c>
      <c r="I11" s="300" t="s">
        <v>55</v>
      </c>
      <c r="J11" s="300" t="s">
        <v>56</v>
      </c>
      <c r="K11" s="300" t="s">
        <v>310</v>
      </c>
      <c r="L11" s="327" t="s">
        <v>46</v>
      </c>
      <c r="M11" s="300" t="s">
        <v>312</v>
      </c>
      <c r="N11" s="301" t="s">
        <v>311</v>
      </c>
      <c r="O11" s="300" t="s">
        <v>57</v>
      </c>
      <c r="P11" s="300" t="s">
        <v>58</v>
      </c>
      <c r="Q11" s="300" t="s">
        <v>313</v>
      </c>
      <c r="R11" s="327" t="s">
        <v>315</v>
      </c>
      <c r="S11" s="300" t="s">
        <v>59</v>
      </c>
      <c r="T11" s="300" t="s">
        <v>60</v>
      </c>
    </row>
    <row r="12" spans="1:22" ht="15" customHeight="1">
      <c r="B12" s="320" t="s">
        <v>0</v>
      </c>
      <c r="C12" s="321" t="s">
        <v>28</v>
      </c>
      <c r="D12" s="321" t="s">
        <v>0</v>
      </c>
      <c r="E12" s="396" t="s">
        <v>354</v>
      </c>
      <c r="F12" s="302" t="s">
        <v>61</v>
      </c>
      <c r="G12" s="327" t="s">
        <v>0</v>
      </c>
      <c r="H12" s="304"/>
      <c r="I12" s="305"/>
      <c r="J12" s="305"/>
      <c r="K12" s="305"/>
      <c r="L12" s="327" t="s">
        <v>0</v>
      </c>
      <c r="M12" s="305"/>
      <c r="N12" s="305"/>
      <c r="P12" s="305"/>
      <c r="Q12" s="305"/>
      <c r="R12" s="327" t="s">
        <v>0</v>
      </c>
      <c r="S12" s="305"/>
      <c r="T12" s="305"/>
    </row>
    <row r="13" spans="1:22" ht="15" customHeight="1">
      <c r="B13" s="397">
        <f>IFERROR(MATCH(F13,M_COA[ACCOUNT],0),"")</f>
        <v>17</v>
      </c>
      <c r="C13" s="321">
        <v>1</v>
      </c>
      <c r="D13" s="321" t="s">
        <v>0</v>
      </c>
      <c r="E13" s="396" t="s">
        <v>354</v>
      </c>
      <c r="F13" s="306" t="s">
        <v>62</v>
      </c>
      <c r="G13" s="327" t="s">
        <v>0</v>
      </c>
      <c r="H13" s="1232" cm="1">
        <f t="array" ref="H13">IFERROR(INDEX(M_COA[PY1],B13),0)</f>
        <v>0</v>
      </c>
      <c r="I13" s="1233">
        <f ca="1">SUMIF($F$41:I45,F13,$I$41:I45)</f>
        <v>0</v>
      </c>
      <c r="J13" s="1234">
        <f>J41</f>
        <v>0</v>
      </c>
      <c r="K13" s="1234">
        <f ca="1">H13+I13+J13</f>
        <v>0</v>
      </c>
      <c r="L13" s="327" t="s">
        <v>0</v>
      </c>
      <c r="M13" s="1232" cm="1">
        <f t="array" ref="M13">INDEX(M_COA[PY1],C13)</f>
        <v>0</v>
      </c>
      <c r="N13" s="1234">
        <f>N41</f>
        <v>0</v>
      </c>
      <c r="O13" s="1239">
        <v>0</v>
      </c>
      <c r="P13" s="1234">
        <f ca="1">((I13*O13/2)+((I13-J13)+(N13-M13))*O13)*$P$11/12</f>
        <v>0</v>
      </c>
      <c r="Q13" s="1234">
        <f ca="1">M13+P13</f>
        <v>0</v>
      </c>
      <c r="R13" s="327" t="s">
        <v>0</v>
      </c>
      <c r="S13" s="1234">
        <f ca="1">K13+Q13</f>
        <v>0</v>
      </c>
      <c r="T13" s="1234">
        <f>H13+M13</f>
        <v>0</v>
      </c>
    </row>
    <row r="14" spans="1:22" ht="15" customHeight="1">
      <c r="B14" s="320" t="s">
        <v>0</v>
      </c>
      <c r="C14" s="321" t="s">
        <v>28</v>
      </c>
      <c r="D14" s="321" t="s">
        <v>0</v>
      </c>
      <c r="E14" s="396" t="s">
        <v>354</v>
      </c>
      <c r="F14" s="303"/>
      <c r="G14" s="327" t="s">
        <v>0</v>
      </c>
      <c r="H14" s="1235">
        <f>SUBTOTAL(109,H12:H13)</f>
        <v>0</v>
      </c>
      <c r="I14" s="1235">
        <f ca="1">SUBTOTAL(109,I12:I13)</f>
        <v>0</v>
      </c>
      <c r="J14" s="1235">
        <f>SUM(J13:J13)</f>
        <v>0</v>
      </c>
      <c r="K14" s="1235">
        <f ca="1">SUM(K13:K13)</f>
        <v>0</v>
      </c>
      <c r="L14" s="327" t="s">
        <v>0</v>
      </c>
      <c r="M14" s="1235">
        <f>SUM(M13:M13)</f>
        <v>0</v>
      </c>
      <c r="N14" s="1235">
        <f>SUM(N13:N13)</f>
        <v>0</v>
      </c>
      <c r="O14" s="1239"/>
      <c r="P14" s="1235">
        <f ca="1">SUM(P13:P13)</f>
        <v>0</v>
      </c>
      <c r="Q14" s="1235">
        <f ca="1">SUM(Q13:Q13)</f>
        <v>0</v>
      </c>
      <c r="R14" s="327" t="s">
        <v>0</v>
      </c>
      <c r="S14" s="1235">
        <f ca="1">SUM(S13:S13)</f>
        <v>0</v>
      </c>
      <c r="T14" s="1235">
        <f>SUM(T13:T13)</f>
        <v>0</v>
      </c>
    </row>
    <row r="15" spans="1:22" ht="15" customHeight="1">
      <c r="B15" s="320" t="s">
        <v>0</v>
      </c>
      <c r="C15" s="321" t="s">
        <v>28</v>
      </c>
      <c r="D15" s="321" t="s">
        <v>0</v>
      </c>
      <c r="E15" s="396" t="s">
        <v>354</v>
      </c>
      <c r="F15" s="302" t="s">
        <v>63</v>
      </c>
      <c r="G15" s="327" t="s">
        <v>0</v>
      </c>
      <c r="H15" s="1233" t="s">
        <v>0</v>
      </c>
      <c r="I15" s="1234"/>
      <c r="J15" s="1234"/>
      <c r="K15" s="1234"/>
      <c r="L15" s="327" t="s">
        <v>0</v>
      </c>
      <c r="M15" s="1234"/>
      <c r="N15" s="1234"/>
      <c r="O15" s="1239"/>
      <c r="P15" s="1234"/>
      <c r="Q15" s="1234"/>
      <c r="R15" s="327" t="s">
        <v>0</v>
      </c>
      <c r="S15" s="1234"/>
      <c r="T15" s="1234"/>
    </row>
    <row r="16" spans="1:22" ht="15" customHeight="1">
      <c r="B16" s="397">
        <f>IFERROR(MATCH(F16,M_COA[ACCOUNT],0),"")</f>
        <v>18</v>
      </c>
      <c r="C16" s="397" t="str">
        <f>IFERROR(MATCH(D16,M_COA[ACCOUNT],0),"")</f>
        <v/>
      </c>
      <c r="D16" s="306" t="s">
        <v>65</v>
      </c>
      <c r="E16" s="396" t="s">
        <v>354</v>
      </c>
      <c r="F16" s="306" t="s">
        <v>64</v>
      </c>
      <c r="G16" s="327"/>
      <c r="H16" s="1232" cm="1">
        <f t="array" ref="H16">IFERROR(INDEX(M_COA[PY1],B16),0)</f>
        <v>0</v>
      </c>
      <c r="I16" s="1233">
        <f ca="1">SUMIF($F$41:I48,F16,$I$41:I48)</f>
        <v>0</v>
      </c>
      <c r="J16" s="1234">
        <f>J42</f>
        <v>0</v>
      </c>
      <c r="K16" s="1234">
        <f ca="1">H16+I16+J16</f>
        <v>0</v>
      </c>
      <c r="L16" s="415" t="s">
        <v>0</v>
      </c>
      <c r="M16" s="1236" cm="1">
        <f t="array" ref="M16">IFERROR(INDEX(M_COA[PY1],C16),0)</f>
        <v>0</v>
      </c>
      <c r="N16" s="1234">
        <f>N42</f>
        <v>0</v>
      </c>
      <c r="O16" s="1239">
        <v>0.04</v>
      </c>
      <c r="P16" s="1234">
        <f ca="1">(((H16+J16+M16+N16)*(O16*(12/$P$11)*-1)))+(I16*-0.5*O16*12/$P$11)</f>
        <v>0</v>
      </c>
      <c r="Q16" s="1234">
        <f ca="1">M16+P16+N16</f>
        <v>0</v>
      </c>
      <c r="R16" s="415" t="s">
        <v>0</v>
      </c>
      <c r="S16" s="1234">
        <f ca="1">K16+Q16</f>
        <v>0</v>
      </c>
      <c r="T16" s="1234">
        <f>H16+M16</f>
        <v>0</v>
      </c>
      <c r="V16" s="323" t="s">
        <v>0</v>
      </c>
    </row>
    <row r="17" spans="2:23" ht="15" customHeight="1">
      <c r="B17" s="320" t="s">
        <v>0</v>
      </c>
      <c r="C17" s="321" t="s">
        <v>28</v>
      </c>
      <c r="D17" s="321" t="s">
        <v>0</v>
      </c>
      <c r="E17" s="396" t="s">
        <v>354</v>
      </c>
      <c r="F17" s="306" t="s">
        <v>0</v>
      </c>
      <c r="G17" s="327" t="s">
        <v>0</v>
      </c>
      <c r="H17" s="1235">
        <f>SUM(H15:H16)</f>
        <v>0</v>
      </c>
      <c r="I17" s="1235">
        <f ca="1">SUM(I15:I16)</f>
        <v>0</v>
      </c>
      <c r="J17" s="1235">
        <f>SUM(J15:J16)</f>
        <v>0</v>
      </c>
      <c r="K17" s="1235">
        <f ca="1">SUM(K15:K16)</f>
        <v>0</v>
      </c>
      <c r="L17" s="740" t="s">
        <v>0</v>
      </c>
      <c r="M17" s="1235">
        <f>SUM(M15:M16)</f>
        <v>0</v>
      </c>
      <c r="N17" s="1235">
        <f>SUM(N15:N16)</f>
        <v>0</v>
      </c>
      <c r="O17" s="1239"/>
      <c r="P17" s="1235">
        <f ca="1">SUM(P15:P16)</f>
        <v>0</v>
      </c>
      <c r="Q17" s="1235">
        <f ca="1">SUM(Q15:Q16)</f>
        <v>0</v>
      </c>
      <c r="R17" s="327" t="s">
        <v>0</v>
      </c>
      <c r="S17" s="1235">
        <f ca="1">SUM(S15:S16)</f>
        <v>0</v>
      </c>
      <c r="T17" s="1235">
        <f>SUM(T15:T16)</f>
        <v>0</v>
      </c>
    </row>
    <row r="18" spans="2:23" ht="15" customHeight="1">
      <c r="B18" s="320"/>
      <c r="C18" s="321"/>
      <c r="D18" s="321"/>
      <c r="E18" s="396"/>
      <c r="F18" s="739" t="s">
        <v>1415</v>
      </c>
      <c r="G18" s="327"/>
      <c r="H18" s="1233"/>
      <c r="I18" s="1233"/>
      <c r="J18" s="1233"/>
      <c r="K18" s="1233"/>
      <c r="L18" s="740"/>
      <c r="M18" s="1233"/>
      <c r="N18" s="1233"/>
      <c r="O18" s="1239"/>
      <c r="P18" s="1233"/>
      <c r="Q18" s="1233"/>
      <c r="R18" s="327"/>
      <c r="S18" s="1233"/>
      <c r="T18" s="1233"/>
    </row>
    <row r="19" spans="2:23" ht="15" customHeight="1">
      <c r="B19" s="397">
        <f>IFERROR(MATCH(F19,M_COA[ACCOUNT],0),"")</f>
        <v>28</v>
      </c>
      <c r="C19" s="397">
        <f>IFERROR(MATCH(D19,M_COA[ACCOUNT],0),"")</f>
        <v>29</v>
      </c>
      <c r="D19" s="306" t="s">
        <v>1548</v>
      </c>
      <c r="E19" s="396"/>
      <c r="F19" s="306" t="s">
        <v>1547</v>
      </c>
      <c r="G19" s="327"/>
      <c r="H19" s="1236" cm="1">
        <f t="array" ref="H19">IFERROR(INDEX(M_COA[PY1],B19),0)</f>
        <v>874941.75</v>
      </c>
      <c r="I19" s="1237">
        <f ca="1">SUMIF($F$41:I46,F19,$I$41:I46)</f>
        <v>0</v>
      </c>
      <c r="J19" s="1237"/>
      <c r="K19" s="1237">
        <f ca="1">H19+I19+J19</f>
        <v>874941.75</v>
      </c>
      <c r="L19" s="740" t="s">
        <v>0</v>
      </c>
      <c r="M19" s="1236" cm="1">
        <f t="array" ref="M19">IFERROR(INDEX(M_COA[PY1],C19),0)</f>
        <v>-410875</v>
      </c>
      <c r="N19" s="1237"/>
      <c r="O19" s="1239">
        <v>0.2</v>
      </c>
      <c r="P19" s="1237">
        <f ca="1">(((H19+J19+M19+N19)*(O19*(12/$P$11)*-1)))+(I19*-0.5*O19*12/$P$11)</f>
        <v>-92813.35</v>
      </c>
      <c r="Q19" s="1237">
        <f ca="1">M19+P19+N19</f>
        <v>-503688.35</v>
      </c>
      <c r="R19" s="327" t="s">
        <v>0</v>
      </c>
      <c r="S19" s="1237">
        <f ca="1">K19+Q19</f>
        <v>371253.4</v>
      </c>
      <c r="T19" s="1237">
        <f>H19+M19</f>
        <v>464066.75</v>
      </c>
    </row>
    <row r="20" spans="2:23" ht="15" customHeight="1">
      <c r="B20" s="320" t="s">
        <v>0</v>
      </c>
      <c r="C20" s="321" t="s">
        <v>28</v>
      </c>
      <c r="D20" s="321" t="s">
        <v>0</v>
      </c>
      <c r="E20" s="396" t="s">
        <v>354</v>
      </c>
      <c r="F20" s="303"/>
      <c r="G20" s="327" t="s">
        <v>0</v>
      </c>
      <c r="H20" s="1233" t="s">
        <v>0</v>
      </c>
      <c r="I20" s="1234"/>
      <c r="J20" s="1234"/>
      <c r="K20" s="1234"/>
      <c r="L20" s="740" t="s">
        <v>0</v>
      </c>
      <c r="M20" s="1234"/>
      <c r="N20" s="1234"/>
      <c r="O20" s="1239"/>
      <c r="P20" s="1234"/>
      <c r="Q20" s="1234"/>
      <c r="R20" s="327" t="s">
        <v>0</v>
      </c>
      <c r="S20" s="1234"/>
      <c r="T20" s="1234"/>
    </row>
    <row r="21" spans="2:23" ht="15" customHeight="1">
      <c r="B21" s="320" t="s">
        <v>0</v>
      </c>
      <c r="C21" s="321" t="s">
        <v>28</v>
      </c>
      <c r="D21" s="321" t="s">
        <v>0</v>
      </c>
      <c r="E21" s="396" t="s">
        <v>354</v>
      </c>
      <c r="F21" s="302" t="s">
        <v>66</v>
      </c>
      <c r="G21" s="327" t="s">
        <v>0</v>
      </c>
      <c r="H21" s="1233" t="s">
        <v>0</v>
      </c>
      <c r="I21" s="1234"/>
      <c r="J21" s="1234"/>
      <c r="K21" s="1234"/>
      <c r="L21" s="740" t="s">
        <v>0</v>
      </c>
      <c r="M21" s="1234"/>
      <c r="N21" s="1234"/>
      <c r="O21" s="1239"/>
      <c r="P21" s="1234"/>
      <c r="Q21" s="1234"/>
      <c r="R21" s="327" t="s">
        <v>0</v>
      </c>
      <c r="S21" s="1234"/>
      <c r="T21" s="1234"/>
    </row>
    <row r="22" spans="2:23" ht="15" customHeight="1">
      <c r="B22" s="397">
        <f>IFERROR(MATCH(F22,M_COA[ACCOUNT],0),"")</f>
        <v>20</v>
      </c>
      <c r="C22" s="397">
        <f>IFERROR(MATCH(D22,M_COA[ACCOUNT],0),"")</f>
        <v>21</v>
      </c>
      <c r="D22" s="306" t="s">
        <v>68</v>
      </c>
      <c r="E22" s="396" t="s">
        <v>354</v>
      </c>
      <c r="F22" s="306" t="s">
        <v>67</v>
      </c>
      <c r="G22" s="327" t="s">
        <v>0</v>
      </c>
      <c r="H22" s="1232" cm="1">
        <f t="array" ref="H22">IFERROR(INDEX(M_COA[PY1],B22),0)</f>
        <v>0</v>
      </c>
      <c r="I22" s="1233">
        <f ca="1">SUMIF($F$41:I51,F22,$I$41:I51)</f>
        <v>0</v>
      </c>
      <c r="J22" s="1234">
        <f>J43</f>
        <v>0</v>
      </c>
      <c r="K22" s="1234">
        <f ca="1">H22+I22+J22</f>
        <v>0</v>
      </c>
      <c r="L22" s="740" t="s">
        <v>0</v>
      </c>
      <c r="M22" s="1232" cm="1">
        <f t="array" ref="M22">INDEX(M_COA[PY1],C22)</f>
        <v>0</v>
      </c>
      <c r="N22" s="1234">
        <f>N43</f>
        <v>0</v>
      </c>
      <c r="O22" s="1239">
        <v>0.2</v>
      </c>
      <c r="P22" s="1234">
        <f ca="1">(((H22+J22+M22+N22)*(O22*(12/$P$11)*-1)))+(I22*-0.5*O22*12/$P$11)</f>
        <v>0</v>
      </c>
      <c r="Q22" s="1234">
        <f ca="1">M22+P22+N22</f>
        <v>0</v>
      </c>
      <c r="R22" s="327" t="s">
        <v>0</v>
      </c>
      <c r="S22" s="1234">
        <f ca="1">K22+Q22</f>
        <v>0</v>
      </c>
      <c r="T22" s="1234">
        <f>H22+M22</f>
        <v>0</v>
      </c>
    </row>
    <row r="23" spans="2:23" ht="15" customHeight="1">
      <c r="B23" s="397">
        <f>IFERROR(MATCH(F23,M_COA[ACCOUNT],0),"")</f>
        <v>26</v>
      </c>
      <c r="C23" s="397">
        <f>IFERROR(MATCH(D23,M_COA[ACCOUNT],0),"")</f>
        <v>27</v>
      </c>
      <c r="D23" s="306" t="s">
        <v>136</v>
      </c>
      <c r="E23" s="396" t="s">
        <v>354</v>
      </c>
      <c r="F23" s="306" t="s">
        <v>135</v>
      </c>
      <c r="G23" s="327" t="s">
        <v>0</v>
      </c>
      <c r="H23" s="1232" cm="1">
        <f t="array" ref="H23">IFERROR(INDEX(M_COA[PY1],B23),0)</f>
        <v>847988.02999999991</v>
      </c>
      <c r="I23" s="1233">
        <f ca="1">SUMIF($F$41:I52,F23,$I$41:I52)</f>
        <v>59442.99</v>
      </c>
      <c r="J23" s="1234">
        <f>J44</f>
        <v>0</v>
      </c>
      <c r="K23" s="1234">
        <f ca="1">H23+I23+J23</f>
        <v>907431.0199999999</v>
      </c>
      <c r="L23" s="740" t="s">
        <v>0</v>
      </c>
      <c r="M23" s="1236" cm="1">
        <f t="array" ref="M23">IFERROR(INDEX(M_COA[PY1],C23),0)</f>
        <v>-576830.03</v>
      </c>
      <c r="N23" s="1234">
        <f>N44</f>
        <v>0</v>
      </c>
      <c r="O23" s="1239">
        <v>0.2</v>
      </c>
      <c r="P23" s="1234">
        <f ca="1">(((H23+J23+M23+N23)*(O23*(12/$P$11)*-1)))+(I23*-0.5*O23*12/$P$11)</f>
        <v>-60175.898999999976</v>
      </c>
      <c r="Q23" s="1234">
        <f ca="1">M23+P23+N23</f>
        <v>-637005.929</v>
      </c>
      <c r="R23" s="327" t="s">
        <v>0</v>
      </c>
      <c r="S23" s="1234">
        <f ca="1">K23+Q23</f>
        <v>270425.0909999999</v>
      </c>
      <c r="T23" s="1234">
        <f>H23+M23</f>
        <v>271157.99999999988</v>
      </c>
      <c r="V23" s="323" t="s">
        <v>0</v>
      </c>
      <c r="W23" s="1241" t="s">
        <v>0</v>
      </c>
    </row>
    <row r="24" spans="2:23" ht="15" customHeight="1">
      <c r="B24" s="320" t="s">
        <v>0</v>
      </c>
      <c r="C24" s="321" t="s">
        <v>28</v>
      </c>
      <c r="D24" s="321" t="s">
        <v>0</v>
      </c>
      <c r="E24" s="396" t="s">
        <v>354</v>
      </c>
      <c r="F24" s="303"/>
      <c r="G24" s="327" t="s">
        <v>0</v>
      </c>
      <c r="H24" s="1235">
        <f>SUM(H20:H23)</f>
        <v>847988.02999999991</v>
      </c>
      <c r="I24" s="1235">
        <f ca="1">SUM(I20:I23)</f>
        <v>59442.99</v>
      </c>
      <c r="J24" s="1235">
        <f>SUM(J20:J23)</f>
        <v>0</v>
      </c>
      <c r="K24" s="1235">
        <f ca="1">SUM(K20:K23)</f>
        <v>907431.0199999999</v>
      </c>
      <c r="L24" s="740" t="s">
        <v>0</v>
      </c>
      <c r="M24" s="1235">
        <f>SUM(M20:M23)</f>
        <v>-576830.03</v>
      </c>
      <c r="N24" s="1235">
        <f>SUM(N20:N23)</f>
        <v>0</v>
      </c>
      <c r="O24" s="1239"/>
      <c r="P24" s="1235">
        <f ca="1">SUM(P20:P23)</f>
        <v>-60175.898999999976</v>
      </c>
      <c r="Q24" s="1235">
        <f ca="1">SUM(Q20:Q23)</f>
        <v>-637005.929</v>
      </c>
      <c r="R24" s="327" t="s">
        <v>0</v>
      </c>
      <c r="S24" s="1235">
        <f ca="1">SUM(S20:S23)</f>
        <v>270425.0909999999</v>
      </c>
      <c r="T24" s="1235">
        <f>SUM(T20:T23)</f>
        <v>271157.99999999988</v>
      </c>
    </row>
    <row r="25" spans="2:23" ht="15" customHeight="1">
      <c r="B25" s="320" t="s">
        <v>0</v>
      </c>
      <c r="C25" s="321" t="s">
        <v>28</v>
      </c>
      <c r="D25" s="321" t="s">
        <v>0</v>
      </c>
      <c r="E25" s="396" t="s">
        <v>354</v>
      </c>
      <c r="F25" s="303"/>
      <c r="G25" s="327" t="s">
        <v>0</v>
      </c>
      <c r="H25" s="1233"/>
      <c r="I25" s="1233"/>
      <c r="J25" s="1233"/>
      <c r="K25" s="1233"/>
      <c r="L25" s="740" t="s">
        <v>0</v>
      </c>
      <c r="M25" s="1233"/>
      <c r="N25" s="1233"/>
      <c r="O25" s="1239"/>
      <c r="P25" s="1233"/>
      <c r="Q25" s="1233"/>
      <c r="R25" s="327" t="s">
        <v>0</v>
      </c>
      <c r="S25" s="1233"/>
      <c r="T25" s="1233"/>
    </row>
    <row r="26" spans="2:23" ht="15" customHeight="1">
      <c r="B26" s="320" t="s">
        <v>0</v>
      </c>
      <c r="C26" s="321" t="s">
        <v>28</v>
      </c>
      <c r="D26" s="321" t="s">
        <v>0</v>
      </c>
      <c r="E26" s="396" t="s">
        <v>354</v>
      </c>
      <c r="F26" s="302" t="s">
        <v>70</v>
      </c>
      <c r="G26" s="327" t="s">
        <v>0</v>
      </c>
      <c r="H26" s="1233"/>
      <c r="I26" s="1233"/>
      <c r="J26" s="1233"/>
      <c r="K26" s="1233"/>
      <c r="L26" s="740" t="s">
        <v>0</v>
      </c>
      <c r="M26" s="1233"/>
      <c r="N26" s="1233"/>
      <c r="O26" s="1239"/>
      <c r="P26" s="1233"/>
      <c r="Q26" s="1233"/>
      <c r="R26" s="327" t="s">
        <v>0</v>
      </c>
      <c r="S26" s="1233"/>
      <c r="T26" s="1233"/>
    </row>
    <row r="27" spans="2:23" ht="15" customHeight="1">
      <c r="B27" s="397">
        <f>IFERROR(MATCH(F27,M_COA[ACCOUNT],0),"")</f>
        <v>24</v>
      </c>
      <c r="C27" s="397">
        <f>IFERROR(MATCH(D27,M_COA[ACCOUNT],0),"")</f>
        <v>25</v>
      </c>
      <c r="D27" s="306" t="s">
        <v>72</v>
      </c>
      <c r="E27" s="396" t="s">
        <v>354</v>
      </c>
      <c r="F27" s="306" t="s">
        <v>71</v>
      </c>
      <c r="G27" s="327" t="s">
        <v>0</v>
      </c>
      <c r="H27" s="1232" cm="1">
        <f t="array" ref="H27">IFERROR(INDEX(M_COA[PY1],B27),0)</f>
        <v>74884.72</v>
      </c>
      <c r="I27" s="1233">
        <f ca="1">SUMIF($F$41:I52,F27,$I$41:I52)</f>
        <v>14067</v>
      </c>
      <c r="J27" s="1234">
        <f>J46</f>
        <v>0</v>
      </c>
      <c r="K27" s="1234">
        <f ca="1">H27+I27+J27</f>
        <v>88951.72</v>
      </c>
      <c r="L27" s="740" t="s">
        <v>0</v>
      </c>
      <c r="M27" s="1236" cm="1">
        <f t="array" ref="M27">IFERROR(INDEX(M_COA[PY1],C27),0)</f>
        <v>-55587.25</v>
      </c>
      <c r="N27" s="1234">
        <f>N46</f>
        <v>0</v>
      </c>
      <c r="O27" s="1239">
        <v>0.3</v>
      </c>
      <c r="P27" s="1234">
        <f ca="1">(((H27+J27+M27+N27)*(O27*(12/$P$11)*-1)))+(I27*-0.5*O27*12/$P$11)</f>
        <v>-7899.2909999999993</v>
      </c>
      <c r="Q27" s="1234">
        <f ca="1">M27+P27+N27</f>
        <v>-63486.540999999997</v>
      </c>
      <c r="R27" s="327" t="s">
        <v>0</v>
      </c>
      <c r="S27" s="1234">
        <f ca="1">K27+Q27</f>
        <v>25465.179000000004</v>
      </c>
      <c r="T27" s="1234">
        <f>H27+M27</f>
        <v>19297.47</v>
      </c>
      <c r="V27" s="1241"/>
    </row>
    <row r="28" spans="2:23" ht="15" customHeight="1">
      <c r="B28" s="320" t="s">
        <v>0</v>
      </c>
      <c r="C28" s="321" t="s">
        <v>28</v>
      </c>
      <c r="D28" s="321" t="s">
        <v>0</v>
      </c>
      <c r="E28" s="396" t="s">
        <v>354</v>
      </c>
      <c r="G28" s="327" t="s">
        <v>0</v>
      </c>
      <c r="H28" s="1235">
        <f>SUM(H27:H27)</f>
        <v>74884.72</v>
      </c>
      <c r="I28" s="1235">
        <f ca="1">SUM(I27:I27)</f>
        <v>14067</v>
      </c>
      <c r="J28" s="1235">
        <f>SUM(J27:J27)</f>
        <v>0</v>
      </c>
      <c r="K28" s="1235">
        <f ca="1">SUM(K27:K27)</f>
        <v>88951.72</v>
      </c>
      <c r="L28" s="740" t="s">
        <v>0</v>
      </c>
      <c r="M28" s="1235">
        <f>SUM(M27:M27)</f>
        <v>-55587.25</v>
      </c>
      <c r="N28" s="1235">
        <f>SUM(N27:N27)</f>
        <v>0</v>
      </c>
      <c r="O28" s="1239"/>
      <c r="P28" s="1235">
        <f ca="1">SUM(P27:P27)</f>
        <v>-7899.2909999999993</v>
      </c>
      <c r="Q28" s="1235">
        <f ca="1">SUM(Q27:Q27)</f>
        <v>-63486.540999999997</v>
      </c>
      <c r="R28" s="327" t="s">
        <v>0</v>
      </c>
      <c r="S28" s="1235">
        <f ca="1">SUM(S27:S27)</f>
        <v>25465.179000000004</v>
      </c>
      <c r="T28" s="1235">
        <f>SUM(T27:T27)</f>
        <v>19297.47</v>
      </c>
    </row>
    <row r="29" spans="2:23" ht="15" customHeight="1">
      <c r="B29" s="320" t="s">
        <v>0</v>
      </c>
      <c r="C29" s="321" t="s">
        <v>28</v>
      </c>
      <c r="D29" s="321" t="s">
        <v>0</v>
      </c>
      <c r="E29" s="396" t="s">
        <v>354</v>
      </c>
      <c r="F29" s="302" t="s">
        <v>73</v>
      </c>
      <c r="G29" s="327" t="s">
        <v>0</v>
      </c>
      <c r="H29" s="1233" t="s">
        <v>0</v>
      </c>
      <c r="I29" s="1234"/>
      <c r="J29" s="1234"/>
      <c r="K29" s="1234"/>
      <c r="L29" s="740" t="s">
        <v>0</v>
      </c>
      <c r="M29" s="1234"/>
      <c r="N29" s="1234"/>
      <c r="O29" s="1239"/>
      <c r="P29" s="1234"/>
      <c r="Q29" s="1234"/>
      <c r="R29" s="327" t="s">
        <v>0</v>
      </c>
      <c r="S29" s="1234"/>
      <c r="T29" s="1234"/>
    </row>
    <row r="30" spans="2:23" ht="15" customHeight="1">
      <c r="B30" s="397">
        <v>22</v>
      </c>
      <c r="C30" s="397">
        <v>23</v>
      </c>
      <c r="D30" s="306" t="s">
        <v>1277</v>
      </c>
      <c r="E30" s="396" t="s">
        <v>354</v>
      </c>
      <c r="F30" s="306" t="s">
        <v>1414</v>
      </c>
      <c r="G30" s="327" t="s">
        <v>0</v>
      </c>
      <c r="H30" s="1232" cm="1">
        <f t="array" ref="H30">IFERROR(INDEX(M_COA[PY1],B30),0)</f>
        <v>62299</v>
      </c>
      <c r="I30" s="1233">
        <f ca="1">SUMIF($F$41:I52,F30,$I$41:I52)</f>
        <v>0</v>
      </c>
      <c r="J30" s="1237">
        <f>J45</f>
        <v>-29704.95</v>
      </c>
      <c r="K30" s="1234">
        <f ca="1">H30+I30+J30</f>
        <v>32594.05</v>
      </c>
      <c r="L30" s="741" t="s">
        <v>0</v>
      </c>
      <c r="M30" s="1236" cm="1">
        <f t="array" ref="M30">IFERROR(INDEX(M_COA[PY1],C30),0)</f>
        <v>-39657</v>
      </c>
      <c r="N30" s="1237">
        <f>N45</f>
        <v>12030.69</v>
      </c>
      <c r="O30" s="1239">
        <v>0.3</v>
      </c>
      <c r="P30" s="1234">
        <f ca="1">(((H30+J30+M30+N30)*(O30*(12/$P$11)*-1)))+(I30*-0.5*O30*12/$P$11)</f>
        <v>-1490.3219999999999</v>
      </c>
      <c r="Q30" s="1234">
        <f ca="1">M30+P30+N30</f>
        <v>-29116.631999999998</v>
      </c>
      <c r="R30" s="415" t="s">
        <v>0</v>
      </c>
      <c r="S30" s="1237">
        <f ca="1">K30+Q30</f>
        <v>3477.4180000000015</v>
      </c>
      <c r="T30" s="1234">
        <f>H30+M30</f>
        <v>22642</v>
      </c>
      <c r="W30" s="1241" t="s">
        <v>0</v>
      </c>
    </row>
    <row r="31" spans="2:23" ht="15" customHeight="1">
      <c r="B31" s="320" t="s">
        <v>0</v>
      </c>
      <c r="C31" s="321" t="s">
        <v>28</v>
      </c>
      <c r="D31" s="321"/>
      <c r="E31" s="396" t="s">
        <v>354</v>
      </c>
      <c r="F31" s="303"/>
      <c r="G31" s="327" t="s">
        <v>0</v>
      </c>
      <c r="H31" s="1235">
        <f>SUM(H30:H30)</f>
        <v>62299</v>
      </c>
      <c r="I31" s="1235">
        <f ca="1">SUM(I30:I30)</f>
        <v>0</v>
      </c>
      <c r="J31" s="1235">
        <f>SUM(J30:J30)</f>
        <v>-29704.95</v>
      </c>
      <c r="K31" s="1235">
        <f ca="1">SUM(K30:K30)</f>
        <v>32594.05</v>
      </c>
      <c r="L31" s="740" t="s">
        <v>0</v>
      </c>
      <c r="M31" s="1235">
        <f>SUM(M30:M30)</f>
        <v>-39657</v>
      </c>
      <c r="N31" s="1235">
        <f>SUM(N30:N30)</f>
        <v>12030.69</v>
      </c>
      <c r="O31" s="1239"/>
      <c r="P31" s="1235">
        <f ca="1">SUM(P30:P30)</f>
        <v>-1490.3219999999999</v>
      </c>
      <c r="Q31" s="1235">
        <f ca="1">SUM(Q30:Q30)</f>
        <v>-29116.631999999998</v>
      </c>
      <c r="R31" s="327" t="s">
        <v>0</v>
      </c>
      <c r="S31" s="1235">
        <f ca="1">SUM(S30:S30)</f>
        <v>3477.4180000000015</v>
      </c>
      <c r="T31" s="1235">
        <f>SUM(T30:T30)</f>
        <v>22642</v>
      </c>
    </row>
    <row r="32" spans="2:23" ht="15" customHeight="1">
      <c r="B32" s="320"/>
      <c r="C32" s="321"/>
      <c r="D32" s="321"/>
      <c r="E32" s="396"/>
      <c r="F32" s="739" t="s">
        <v>1221</v>
      </c>
      <c r="G32" s="327"/>
      <c r="H32" s="1233"/>
      <c r="I32" s="1233"/>
      <c r="J32" s="1233"/>
      <c r="K32" s="1233"/>
      <c r="L32" s="740"/>
      <c r="M32" s="1233"/>
      <c r="N32" s="1233"/>
      <c r="O32" s="1239"/>
      <c r="P32" s="1233"/>
      <c r="Q32" s="1233"/>
      <c r="R32" s="327"/>
      <c r="S32" s="1233"/>
      <c r="T32" s="1233"/>
      <c r="W32" s="323" t="s">
        <v>0</v>
      </c>
    </row>
    <row r="33" spans="2:20" ht="15" customHeight="1">
      <c r="B33" s="397">
        <f>IFERROR(MATCH(F33,M_COA[ACCOUNT],0),"")</f>
        <v>32</v>
      </c>
      <c r="C33" s="397">
        <f>IFERROR(MATCH(D33,M_COA[ACCOUNT],0),"")</f>
        <v>33</v>
      </c>
      <c r="D33" s="306" t="s">
        <v>1280</v>
      </c>
      <c r="E33" s="396"/>
      <c r="F33" s="306" t="s">
        <v>1279</v>
      </c>
      <c r="G33" s="327"/>
      <c r="H33" s="1236" cm="1">
        <f t="array" ref="H33">IFERROR(INDEX(M_COA[PY1],B33),0)</f>
        <v>62250</v>
      </c>
      <c r="I33" s="1237">
        <f ca="1">SUMIF($F$41:I52,F33,$I$41:I52)</f>
        <v>0</v>
      </c>
      <c r="J33" s="1237"/>
      <c r="K33" s="1237">
        <f ca="1">H33+I33+J33</f>
        <v>62250</v>
      </c>
      <c r="L33" s="327" t="s">
        <v>0</v>
      </c>
      <c r="M33" s="1236" cm="1">
        <f t="array" ref="M33">IFERROR(INDEX(M_COA[PY1],C33),0)</f>
        <v>-43875</v>
      </c>
      <c r="N33" s="1237"/>
      <c r="O33" s="1239">
        <v>0.2</v>
      </c>
      <c r="P33" s="1237">
        <f ca="1">(((H33+J33+M33+N33)*(O33*(12/$P$11)*-1)))+(I33*-0.5*O33*12/$P$11)</f>
        <v>-3675</v>
      </c>
      <c r="Q33" s="1237">
        <f ca="1">M33+P33+N33</f>
        <v>-47550</v>
      </c>
      <c r="R33" s="327" t="s">
        <v>0</v>
      </c>
      <c r="S33" s="1237">
        <f ca="1">K33+Q33</f>
        <v>14700</v>
      </c>
      <c r="T33" s="1237">
        <f>H33+M33</f>
        <v>18375</v>
      </c>
    </row>
    <row r="34" spans="2:20" ht="15" customHeight="1">
      <c r="B34" s="320"/>
      <c r="C34" s="321"/>
      <c r="D34" s="321"/>
      <c r="E34" s="396"/>
      <c r="G34" s="327"/>
      <c r="H34" s="1233"/>
      <c r="I34" s="1233"/>
      <c r="J34" s="1233"/>
      <c r="K34" s="1233"/>
      <c r="L34" s="327"/>
      <c r="M34" s="1233"/>
      <c r="N34" s="1233"/>
      <c r="O34" s="1239"/>
      <c r="P34" s="1233"/>
      <c r="Q34" s="1233"/>
      <c r="R34" s="327"/>
      <c r="S34" s="1233"/>
      <c r="T34" s="1233"/>
    </row>
    <row r="35" spans="2:20" ht="15" customHeight="1">
      <c r="B35" s="320"/>
      <c r="C35" s="321"/>
      <c r="D35" s="321"/>
      <c r="E35" s="396"/>
      <c r="G35" s="327"/>
      <c r="H35" s="1233"/>
      <c r="I35" s="1233"/>
      <c r="J35" s="1233"/>
      <c r="K35" s="1233"/>
      <c r="L35" s="327"/>
      <c r="M35" s="1233"/>
      <c r="N35" s="1233"/>
      <c r="O35" s="1239"/>
      <c r="P35" s="1233"/>
      <c r="Q35" s="1233"/>
      <c r="R35" s="327"/>
      <c r="S35" s="1233"/>
      <c r="T35" s="1233"/>
    </row>
    <row r="36" spans="2:20" ht="15" customHeight="1">
      <c r="B36" s="320" t="s">
        <v>0</v>
      </c>
      <c r="C36" s="321" t="s">
        <v>28</v>
      </c>
      <c r="D36" s="321"/>
      <c r="E36" s="396" t="s">
        <v>354</v>
      </c>
      <c r="F36" s="303"/>
      <c r="G36" s="327" t="s">
        <v>0</v>
      </c>
      <c r="H36" s="1233"/>
      <c r="I36" s="1234"/>
      <c r="J36" s="1234"/>
      <c r="K36" s="1234"/>
      <c r="L36" s="327" t="s">
        <v>0</v>
      </c>
      <c r="M36" s="1234"/>
      <c r="N36" s="1234"/>
      <c r="O36" s="1239"/>
      <c r="P36" s="1234"/>
      <c r="Q36" s="1234"/>
      <c r="R36" s="327" t="s">
        <v>0</v>
      </c>
      <c r="S36" s="1234"/>
      <c r="T36" s="1234"/>
    </row>
    <row r="37" spans="2:20" ht="15" customHeight="1" thickBot="1">
      <c r="B37" s="320" t="s">
        <v>0</v>
      </c>
      <c r="C37" s="321" t="s">
        <v>28</v>
      </c>
      <c r="D37" s="321" t="s">
        <v>0</v>
      </c>
      <c r="E37" s="396" t="s">
        <v>354</v>
      </c>
      <c r="F37" s="303"/>
      <c r="G37" s="327" t="s">
        <v>0</v>
      </c>
      <c r="H37" s="1238">
        <f>H14+H17+H19+H24+H28+H31+H33</f>
        <v>1922363.4999999998</v>
      </c>
      <c r="I37" s="1238">
        <f ca="1">I14+I17+I19+I24+I28+I31+I33</f>
        <v>73509.989999999991</v>
      </c>
      <c r="J37" s="1238">
        <f>J14+J17+J19+J24+J28+J31+J33</f>
        <v>-29704.95</v>
      </c>
      <c r="K37" s="1238">
        <f ca="1">K14+K17+K19+K24+K28+K31+K33</f>
        <v>1966168.54</v>
      </c>
      <c r="L37" s="327" t="s">
        <v>0</v>
      </c>
      <c r="M37" s="1238">
        <f>M14+M17+M19+M24+M28+M31+M33</f>
        <v>-1126824.28</v>
      </c>
      <c r="N37" s="1238">
        <f>N14+N17+N19+N24+N28+N31+N33</f>
        <v>12030.69</v>
      </c>
      <c r="O37" s="1233" t="s">
        <v>0</v>
      </c>
      <c r="P37" s="1238">
        <f ca="1">P14+P17+P19+P24+P28+P31+P33</f>
        <v>-166053.86199999996</v>
      </c>
      <c r="Q37" s="1238">
        <f ca="1">Q14+Q17+Q19+Q24+Q28+Q31+Q33</f>
        <v>-1280847.452</v>
      </c>
      <c r="R37" s="327" t="s">
        <v>0</v>
      </c>
      <c r="S37" s="1238">
        <f ca="1">S14+S17+S19+S24+S28+S31+S33</f>
        <v>685321.08799999987</v>
      </c>
      <c r="T37" s="1238">
        <f>T14+T17+T19+T24+T28+T31+T33</f>
        <v>795539.21999999986</v>
      </c>
    </row>
    <row r="38" spans="2:20" ht="15" customHeight="1" thickTop="1">
      <c r="B38" s="320" t="s">
        <v>0</v>
      </c>
      <c r="C38" s="321" t="s">
        <v>28</v>
      </c>
      <c r="D38" s="322"/>
      <c r="E38" s="396" t="s">
        <v>354</v>
      </c>
      <c r="F38" s="303"/>
      <c r="G38" s="327" t="s">
        <v>0</v>
      </c>
      <c r="H38" s="1234"/>
      <c r="I38" s="1234"/>
      <c r="J38" s="1234"/>
      <c r="K38" s="1234"/>
      <c r="L38" s="327" t="s">
        <v>0</v>
      </c>
      <c r="M38" s="1234"/>
      <c r="N38" s="1234"/>
      <c r="O38" s="1240"/>
      <c r="P38" s="1234"/>
      <c r="Q38" s="1234"/>
      <c r="R38" s="327" t="s">
        <v>0</v>
      </c>
      <c r="S38" s="303"/>
      <c r="T38" s="303"/>
    </row>
    <row r="39" spans="2:20" ht="15" customHeight="1">
      <c r="B39" s="320" t="s">
        <v>0</v>
      </c>
      <c r="C39" s="321" t="s">
        <v>28</v>
      </c>
      <c r="D39" s="321"/>
      <c r="E39" s="396" t="s">
        <v>354</v>
      </c>
      <c r="F39" s="310" t="s">
        <v>74</v>
      </c>
      <c r="G39" s="327" t="s">
        <v>0</v>
      </c>
      <c r="I39" s="303" t="s">
        <v>55</v>
      </c>
      <c r="J39" s="303"/>
      <c r="K39" s="303"/>
      <c r="L39" s="327" t="s">
        <v>0</v>
      </c>
      <c r="M39" s="303"/>
      <c r="N39" s="303"/>
      <c r="P39" s="303"/>
      <c r="Q39" s="303" t="s">
        <v>0</v>
      </c>
      <c r="R39" s="327" t="s">
        <v>0</v>
      </c>
      <c r="S39" s="303">
        <f>U!G28</f>
        <v>685321.09</v>
      </c>
      <c r="T39" s="303">
        <f>U!H28</f>
        <v>795539.21999999974</v>
      </c>
    </row>
    <row r="40" spans="2:20" ht="15" customHeight="1">
      <c r="B40" s="320" t="s">
        <v>0</v>
      </c>
      <c r="C40" s="321" t="s">
        <v>28</v>
      </c>
      <c r="D40" s="321"/>
      <c r="E40" s="396" t="s">
        <v>354</v>
      </c>
      <c r="F40" s="309" t="s">
        <v>0</v>
      </c>
      <c r="G40" s="327" t="s">
        <v>0</v>
      </c>
      <c r="I40" s="303"/>
      <c r="J40" s="303"/>
      <c r="K40" s="311"/>
      <c r="L40" s="327" t="s">
        <v>0</v>
      </c>
      <c r="M40" s="303"/>
      <c r="N40" s="303"/>
      <c r="P40" s="303"/>
      <c r="Q40" s="303"/>
      <c r="R40" s="327" t="s">
        <v>0</v>
      </c>
      <c r="S40" s="303"/>
      <c r="T40" s="303"/>
    </row>
    <row r="41" spans="2:20" ht="15" customHeight="1">
      <c r="B41" s="320" t="s">
        <v>0</v>
      </c>
      <c r="C41" s="321" t="s">
        <v>28</v>
      </c>
      <c r="D41" s="321"/>
      <c r="E41" s="396" t="s">
        <v>354</v>
      </c>
      <c r="F41" s="306" t="s">
        <v>62</v>
      </c>
      <c r="G41" s="327" t="s">
        <v>0</v>
      </c>
      <c r="I41" s="303">
        <v>0</v>
      </c>
      <c r="J41" s="307">
        <v>0</v>
      </c>
      <c r="K41" s="312"/>
      <c r="L41" s="327" t="s">
        <v>0</v>
      </c>
      <c r="M41" s="303"/>
      <c r="N41" s="303">
        <v>0</v>
      </c>
      <c r="P41" s="303"/>
      <c r="Q41" s="303"/>
      <c r="R41" s="327" t="s">
        <v>0</v>
      </c>
      <c r="S41" s="303"/>
      <c r="T41" s="303"/>
    </row>
    <row r="42" spans="2:20" ht="15" customHeight="1">
      <c r="B42" s="320" t="s">
        <v>0</v>
      </c>
      <c r="C42" s="321" t="s">
        <v>28</v>
      </c>
      <c r="D42" s="321"/>
      <c r="E42" s="396" t="s">
        <v>354</v>
      </c>
      <c r="F42" s="306" t="s">
        <v>64</v>
      </c>
      <c r="G42" s="327" t="s">
        <v>0</v>
      </c>
      <c r="I42" s="303">
        <v>0</v>
      </c>
      <c r="J42" s="307">
        <v>0</v>
      </c>
      <c r="K42" s="312"/>
      <c r="L42" s="327" t="s">
        <v>0</v>
      </c>
      <c r="M42" s="303"/>
      <c r="N42" s="303">
        <v>0</v>
      </c>
      <c r="P42" s="303"/>
      <c r="Q42" s="303"/>
      <c r="R42" s="327" t="s">
        <v>0</v>
      </c>
      <c r="S42" s="303"/>
      <c r="T42" s="303"/>
    </row>
    <row r="43" spans="2:20" ht="15" customHeight="1">
      <c r="B43" s="320" t="s">
        <v>0</v>
      </c>
      <c r="C43" s="321" t="s">
        <v>28</v>
      </c>
      <c r="D43" s="321"/>
      <c r="E43" s="396" t="s">
        <v>354</v>
      </c>
      <c r="F43" s="306" t="s">
        <v>67</v>
      </c>
      <c r="G43" s="327" t="s">
        <v>0</v>
      </c>
      <c r="I43" s="303">
        <v>0</v>
      </c>
      <c r="J43" s="307">
        <v>0</v>
      </c>
      <c r="K43" s="307"/>
      <c r="L43" s="327" t="s">
        <v>0</v>
      </c>
      <c r="M43" s="303"/>
      <c r="N43" s="303">
        <v>0</v>
      </c>
      <c r="P43" s="303"/>
      <c r="Q43" s="303"/>
      <c r="R43" s="327" t="s">
        <v>0</v>
      </c>
      <c r="S43" s="303"/>
      <c r="T43" s="303"/>
    </row>
    <row r="44" spans="2:20" ht="15" customHeight="1">
      <c r="B44" s="320"/>
      <c r="C44" s="321"/>
      <c r="D44" s="321"/>
      <c r="E44" s="396"/>
      <c r="F44" s="306" t="s">
        <v>135</v>
      </c>
      <c r="G44" s="327"/>
      <c r="I44" s="196">
        <v>59442.99</v>
      </c>
      <c r="J44" s="307">
        <v>0</v>
      </c>
      <c r="K44" s="307"/>
      <c r="L44" s="327"/>
      <c r="M44" s="303"/>
      <c r="N44" s="303">
        <v>0</v>
      </c>
      <c r="P44" s="303"/>
      <c r="Q44" s="303"/>
      <c r="R44" s="327"/>
      <c r="S44" s="303"/>
      <c r="T44" s="303"/>
    </row>
    <row r="45" spans="2:20" ht="15" customHeight="1">
      <c r="B45" s="320" t="s">
        <v>0</v>
      </c>
      <c r="C45" s="321" t="s">
        <v>28</v>
      </c>
      <c r="D45" s="321"/>
      <c r="E45" s="396" t="s">
        <v>354</v>
      </c>
      <c r="F45" s="306" t="s">
        <v>597</v>
      </c>
      <c r="G45" s="327" t="s">
        <v>0</v>
      </c>
      <c r="I45" s="313">
        <v>0</v>
      </c>
      <c r="J45" s="307">
        <v>-29704.95</v>
      </c>
      <c r="K45" s="313"/>
      <c r="L45" s="327" t="s">
        <v>0</v>
      </c>
      <c r="M45" s="313"/>
      <c r="N45" s="313">
        <v>12030.69</v>
      </c>
      <c r="P45" s="313"/>
      <c r="Q45" s="313"/>
      <c r="R45" s="327" t="s">
        <v>0</v>
      </c>
      <c r="S45" s="313"/>
      <c r="T45" s="313" t="s">
        <v>363</v>
      </c>
    </row>
    <row r="46" spans="2:20" ht="15" customHeight="1">
      <c r="B46" s="320" t="s">
        <v>0</v>
      </c>
      <c r="C46" s="321" t="s">
        <v>28</v>
      </c>
      <c r="D46" s="321"/>
      <c r="E46" s="396" t="s">
        <v>354</v>
      </c>
      <c r="F46" s="306" t="s">
        <v>71</v>
      </c>
      <c r="G46" s="327" t="s">
        <v>0</v>
      </c>
      <c r="I46" s="313">
        <v>14067</v>
      </c>
      <c r="J46" s="307">
        <v>0</v>
      </c>
      <c r="K46" s="313"/>
      <c r="L46" s="327" t="s">
        <v>0</v>
      </c>
      <c r="M46" s="313"/>
      <c r="N46" s="313">
        <v>0</v>
      </c>
      <c r="P46" s="314"/>
      <c r="Q46" s="313"/>
      <c r="R46" s="327" t="s">
        <v>0</v>
      </c>
      <c r="S46" s="313"/>
      <c r="T46" s="313"/>
    </row>
    <row r="47" spans="2:20" ht="15" customHeight="1" thickBot="1">
      <c r="B47" s="320" t="s">
        <v>0</v>
      </c>
      <c r="C47" s="321" t="s">
        <v>28</v>
      </c>
      <c r="D47" s="397" t="s">
        <v>28</v>
      </c>
      <c r="E47" s="396" t="s">
        <v>354</v>
      </c>
      <c r="G47" s="327" t="s">
        <v>0</v>
      </c>
      <c r="I47" s="315">
        <f>SUM(I41:I46)</f>
        <v>73509.989999999991</v>
      </c>
      <c r="J47" s="315">
        <f>SUM(J41:J46)</f>
        <v>-29704.95</v>
      </c>
      <c r="K47" s="316"/>
      <c r="L47" s="327" t="s">
        <v>0</v>
      </c>
      <c r="M47" s="313"/>
      <c r="N47" s="1242">
        <f>SUBTOTAL(109,N41:N46)</f>
        <v>12030.69</v>
      </c>
      <c r="O47" s="325"/>
      <c r="P47" s="317"/>
      <c r="Q47" s="325"/>
      <c r="R47" s="327" t="s">
        <v>0</v>
      </c>
    </row>
    <row r="48" spans="2:20" ht="13.5" thickTop="1">
      <c r="B48" s="320" t="s">
        <v>0</v>
      </c>
      <c r="C48" s="321" t="s">
        <v>28</v>
      </c>
      <c r="D48" s="397" t="s">
        <v>28</v>
      </c>
      <c r="E48" s="396" t="s">
        <v>354</v>
      </c>
      <c r="F48" s="326"/>
      <c r="G48" s="327" t="s">
        <v>0</v>
      </c>
      <c r="H48" s="318" t="s">
        <v>0</v>
      </c>
      <c r="I48" s="319"/>
      <c r="J48" s="316"/>
      <c r="K48" s="308"/>
      <c r="L48" s="327" t="s">
        <v>0</v>
      </c>
      <c r="M48" s="313"/>
      <c r="N48" s="314"/>
      <c r="O48" s="325"/>
      <c r="Q48" s="325"/>
      <c r="R48" s="327" t="s">
        <v>0</v>
      </c>
    </row>
    <row r="49" spans="6:19">
      <c r="G49" s="318"/>
      <c r="H49" s="319"/>
      <c r="I49" s="316"/>
      <c r="J49" s="308"/>
      <c r="K49" s="303"/>
      <c r="L49" s="303"/>
      <c r="M49" s="314"/>
      <c r="N49" s="325"/>
      <c r="P49" s="325"/>
      <c r="Q49" s="325"/>
    </row>
    <row r="50" spans="6:19">
      <c r="G50" s="318"/>
      <c r="H50" s="319"/>
      <c r="I50" s="316"/>
      <c r="J50" s="308"/>
      <c r="K50" s="303"/>
      <c r="L50" s="303"/>
      <c r="M50" s="314"/>
      <c r="N50" s="325"/>
      <c r="O50" s="317"/>
      <c r="P50" s="325"/>
      <c r="Q50" s="325"/>
    </row>
    <row r="51" spans="6:19">
      <c r="G51" s="318"/>
      <c r="H51" s="319"/>
      <c r="I51" s="316"/>
      <c r="J51" s="308" t="s">
        <v>0</v>
      </c>
      <c r="K51" s="303"/>
      <c r="L51" s="303"/>
      <c r="M51" s="314"/>
      <c r="N51" s="325"/>
      <c r="O51" s="317"/>
      <c r="P51" s="325" t="s">
        <v>0</v>
      </c>
      <c r="Q51" s="325"/>
      <c r="S51" s="1251" t="s">
        <v>0</v>
      </c>
    </row>
    <row r="52" spans="6:19">
      <c r="F52" s="323" t="s">
        <v>0</v>
      </c>
      <c r="S52" s="1251" t="s">
        <v>0</v>
      </c>
    </row>
    <row r="53" spans="6:19">
      <c r="O53" s="1250" t="s">
        <v>0</v>
      </c>
    </row>
  </sheetData>
  <mergeCells count="5">
    <mergeCell ref="F5:T5"/>
    <mergeCell ref="B9:D9"/>
    <mergeCell ref="H9:K9"/>
    <mergeCell ref="M9:Q9"/>
    <mergeCell ref="S9:T9"/>
  </mergeCells>
  <hyperlinks>
    <hyperlink ref="A1" location="'TABLE OF CONTENTS'!A1" display="INDEX" xr:uid="{001A0C75-05EC-4254-824E-8490D51F4475}"/>
  </hyperlinks>
  <pageMargins left="0.7" right="0.7" top="0.75" bottom="0.75" header="0.3" footer="0.3"/>
  <pageSetup orientation="portrait" horizontalDpi="0" verticalDpi="0"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CCF47EF3-9296-40F0-BB79-427ECA879410}">
          <x14:formula1>
            <xm:f>COA!$D$9:$D$166</xm:f>
          </x14:formula1>
          <xm:sqref>F13 D33 F33 D19 F19 D22:D23 F41:F46 D16 D27 F30 F22:F23 D30 F27 F16</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68B86-1A15-4BD9-BC0E-E2050A2EDA17}">
  <sheetPr codeName="Sheet14">
    <tabColor theme="5"/>
  </sheetPr>
  <dimension ref="A1:I23"/>
  <sheetViews>
    <sheetView workbookViewId="0"/>
  </sheetViews>
  <sheetFormatPr defaultColWidth="9.140625" defaultRowHeight="12.75"/>
  <cols>
    <col min="1" max="4" width="9.140625" style="362"/>
    <col min="5" max="5" width="8" style="362" customWidth="1"/>
    <col min="6" max="6" width="28.7109375" style="362" customWidth="1"/>
    <col min="7" max="7" width="11.5703125" style="362" bestFit="1" customWidth="1"/>
    <col min="8" max="8" width="11.85546875" style="362" customWidth="1"/>
    <col min="9" max="16384" width="9.140625" style="362"/>
  </cols>
  <sheetData>
    <row r="1" spans="1:9">
      <c r="A1" s="59" t="s">
        <v>1650</v>
      </c>
      <c r="B1" s="363"/>
      <c r="C1" s="424" t="str">
        <f>F5</f>
        <v>ACCOUNTS PAYABLE</v>
      </c>
    </row>
    <row r="2" spans="1:9">
      <c r="A2" s="362" t="s">
        <v>1383</v>
      </c>
      <c r="B2" s="363"/>
      <c r="C2" s="363"/>
      <c r="D2" s="363"/>
      <c r="E2" s="363"/>
      <c r="F2" s="363"/>
      <c r="G2" s="363"/>
      <c r="H2" s="363"/>
    </row>
    <row r="3" spans="1:9">
      <c r="B3" s="363" t="s">
        <v>0</v>
      </c>
      <c r="C3" s="363" t="s">
        <v>0</v>
      </c>
      <c r="D3" s="363"/>
      <c r="E3" s="363"/>
      <c r="F3" s="363"/>
      <c r="G3" s="363"/>
      <c r="H3" s="363"/>
    </row>
    <row r="4" spans="1:9" ht="15.75">
      <c r="B4" s="363"/>
      <c r="D4" s="402"/>
      <c r="E4" s="402"/>
      <c r="F4" s="403" t="str">
        <f>COA!B2</f>
        <v>ANONYMOUS COMPANY</v>
      </c>
      <c r="G4" s="403"/>
      <c r="H4" s="403"/>
      <c r="I4" s="401" t="str">
        <f>MID(A2,1,2)</f>
        <v>BB</v>
      </c>
    </row>
    <row r="5" spans="1:9" ht="15.75">
      <c r="B5" s="363"/>
      <c r="D5" s="404"/>
      <c r="E5" s="405" t="s">
        <v>0</v>
      </c>
      <c r="F5" s="405" t="str">
        <f>UPPER(_xlfn.XLOOKUP(A2,COA!G1:G174,COA!I1:I174))</f>
        <v>ACCOUNTS PAYABLE</v>
      </c>
      <c r="G5" s="405"/>
      <c r="H5" s="405"/>
    </row>
    <row r="6" spans="1:9">
      <c r="B6" s="363"/>
      <c r="D6" s="406"/>
      <c r="E6" s="406"/>
      <c r="F6" s="407" t="str">
        <f>"FOR THE YEAR ENDED "&amp;UPPER(TEXT(COA!$B$4,"MMMM DD, YYYY"))</f>
        <v>FOR THE YEAR ENDED DECEMBER 31, 2025</v>
      </c>
      <c r="G6" s="407"/>
      <c r="H6" s="407"/>
    </row>
    <row r="7" spans="1:9">
      <c r="B7" s="363"/>
      <c r="C7" s="363"/>
      <c r="D7" s="363"/>
      <c r="E7" s="363"/>
      <c r="F7" s="363"/>
      <c r="G7" s="363"/>
      <c r="H7" s="363"/>
    </row>
    <row r="8" spans="1:9">
      <c r="B8" s="363"/>
      <c r="C8" s="364"/>
      <c r="D8" s="364"/>
      <c r="E8" s="365"/>
      <c r="F8" s="365"/>
      <c r="G8" s="364"/>
      <c r="H8" s="364"/>
    </row>
    <row r="9" spans="1:9" ht="13.5" thickBot="1">
      <c r="B9" s="1293" t="s">
        <v>357</v>
      </c>
      <c r="C9" s="1293"/>
      <c r="D9" s="1293"/>
      <c r="E9" s="366" t="s">
        <v>0</v>
      </c>
      <c r="F9" s="367" t="s">
        <v>356</v>
      </c>
      <c r="G9" s="368">
        <f>YEAR(COA!B4)</f>
        <v>2025</v>
      </c>
      <c r="H9" s="368">
        <f>G9-1</f>
        <v>2024</v>
      </c>
    </row>
    <row r="10" spans="1:9">
      <c r="B10" s="408" t="s">
        <v>358</v>
      </c>
      <c r="C10" s="409" t="s">
        <v>359</v>
      </c>
      <c r="D10" s="409" t="s">
        <v>360</v>
      </c>
      <c r="F10" s="369"/>
      <c r="G10" s="370"/>
      <c r="H10" s="370"/>
    </row>
    <row r="11" spans="1:9">
      <c r="B11" s="410">
        <f>IFERROR(MATCH(D11,M_COA[LSheetID],0),"")</f>
        <v>36</v>
      </c>
      <c r="C11" s="371">
        <f>1</f>
        <v>1</v>
      </c>
      <c r="D11" s="371" t="str">
        <f t="shared" ref="D11:D17" si="0">_xlfn.CONCAT($I$4,C11)</f>
        <v>BB1</v>
      </c>
      <c r="F11" s="398" t="str" cm="1">
        <f t="array" ref="F11">IFERROR(INDEX(M_COA[ACCOUNT],B11),0)</f>
        <v>2150 Accounts payable</v>
      </c>
      <c r="G11" s="398" cm="1">
        <f t="array" ref="G11">IFERROR(INDEX(M_COA[CY],B11),0)</f>
        <v>-3520.4799999999996</v>
      </c>
      <c r="H11" s="398" cm="1">
        <f t="array" ref="H11">IFERROR(INDEX(M_COA[PY1],B11),0)</f>
        <v>-111812.99</v>
      </c>
    </row>
    <row r="12" spans="1:9">
      <c r="B12" s="410">
        <f>IFERROR(MATCH(D12,M_COA[LSheetID],0),"")</f>
        <v>37</v>
      </c>
      <c r="C12" s="371">
        <f t="shared" ref="C12:C17" si="1">C11+1</f>
        <v>2</v>
      </c>
      <c r="D12" s="371" t="str">
        <f t="shared" si="0"/>
        <v>BB2</v>
      </c>
      <c r="F12" s="398" t="str" cm="1">
        <f t="array" ref="F12">IFERROR(INDEX(M_COA[ACCOUNT],B12),0)</f>
        <v>2151 Fundraiser Coupon Payable</v>
      </c>
      <c r="G12" s="398" cm="1">
        <f t="array" ref="G12">IFERROR(INDEX(M_COA[CY],B12),0)</f>
        <v>-7713.65</v>
      </c>
      <c r="H12" s="398" cm="1">
        <f t="array" ref="H12">IFERROR(INDEX(M_COA[PY1],B12),0)</f>
        <v>-7387.68</v>
      </c>
    </row>
    <row r="13" spans="1:9">
      <c r="B13" s="410">
        <f>IFERROR(MATCH(D13,M_COA[LSheetID],0),"")</f>
        <v>38</v>
      </c>
      <c r="C13" s="371">
        <f t="shared" si="1"/>
        <v>3</v>
      </c>
      <c r="D13" s="371" t="str">
        <f t="shared" si="0"/>
        <v>BB3</v>
      </c>
      <c r="F13" s="398" t="str" cm="1">
        <f t="array" ref="F13">IFERROR(INDEX(M_COA[ACCOUNT],B13),0)</f>
        <v>2152 Accruals</v>
      </c>
      <c r="G13" s="398" cm="1">
        <f t="array" ref="G13">IFERROR(INDEX(M_COA[CY],B13),0)</f>
        <v>-313475.81</v>
      </c>
      <c r="H13" s="398" cm="1">
        <f t="array" ref="H13">IFERROR(INDEX(M_COA[PY1],B13),0)</f>
        <v>-9927.0999999997803</v>
      </c>
    </row>
    <row r="14" spans="1:9">
      <c r="B14" s="410">
        <f>IFERROR(MATCH(D14,M_COA[LSheetID],0),"")</f>
        <v>39</v>
      </c>
      <c r="C14" s="371">
        <f t="shared" si="1"/>
        <v>4</v>
      </c>
      <c r="D14" s="371" t="str">
        <f t="shared" si="0"/>
        <v>BB4</v>
      </c>
      <c r="F14" s="398" t="str" cm="1">
        <f t="array" ref="F14">IFERROR(INDEX(M_COA[ACCOUNT],B14),0)</f>
        <v>2158 Bonus Payable</v>
      </c>
      <c r="G14" s="398" cm="1">
        <f t="array" ref="G14">IFERROR(INDEX(M_COA[CY],B14),0)</f>
        <v>0</v>
      </c>
      <c r="H14" s="398" cm="1">
        <f t="array" ref="H14">IFERROR(INDEX(M_COA[PY1],B14),0)</f>
        <v>0</v>
      </c>
    </row>
    <row r="15" spans="1:9">
      <c r="B15" s="410">
        <f>IFERROR(MATCH(D15,M_COA[LSheetID],0),"")</f>
        <v>40</v>
      </c>
      <c r="C15" s="371">
        <f t="shared" si="1"/>
        <v>5</v>
      </c>
      <c r="D15" s="371" t="str">
        <f t="shared" si="0"/>
        <v>BB5</v>
      </c>
      <c r="F15" s="398" t="str" cm="1">
        <f t="array" ref="F15">IFERROR(INDEX(M_COA[ACCOUNT],B15),0)</f>
        <v>2160 Payroll Clearing</v>
      </c>
      <c r="G15" s="398" cm="1">
        <f t="array" ref="G15">IFERROR(INDEX(M_COA[CY],B15),0)</f>
        <v>92285.98</v>
      </c>
      <c r="H15" s="398" cm="1">
        <f t="array" ref="H15">IFERROR(INDEX(M_COA[PY1],B15),0)</f>
        <v>-5271.5600000006698</v>
      </c>
    </row>
    <row r="16" spans="1:9">
      <c r="B16" s="410">
        <f>IFERROR(MATCH(D16,M_COA[LSheetID],0),"")</f>
        <v>41</v>
      </c>
      <c r="C16" s="371">
        <f t="shared" si="1"/>
        <v>6</v>
      </c>
      <c r="D16" s="371" t="str">
        <f t="shared" si="0"/>
        <v>BB6</v>
      </c>
      <c r="F16" s="398" t="str" cm="1">
        <f t="array" ref="F16">IFERROR(INDEX(M_COA[ACCOUNT],B16),0)</f>
        <v>2161 Union dues payable</v>
      </c>
      <c r="G16" s="398" cm="1">
        <f t="array" ref="G16">IFERROR(INDEX(M_COA[CY],B16),0)</f>
        <v>-16023.93</v>
      </c>
      <c r="H16" s="398" cm="1">
        <f t="array" ref="H16">IFERROR(INDEX(M_COA[PY1],B16),0)</f>
        <v>-17162.71</v>
      </c>
    </row>
    <row r="17" spans="2:8">
      <c r="B17" s="410">
        <f>IFERROR(MATCH(D17,M_COA[LSheetID],0),"")</f>
        <v>43</v>
      </c>
      <c r="C17" s="371">
        <f t="shared" si="1"/>
        <v>7</v>
      </c>
      <c r="D17" s="371" t="str">
        <f t="shared" si="0"/>
        <v>BB7</v>
      </c>
      <c r="F17" s="398" t="str" cm="1">
        <f t="array" ref="F17">IFERROR(INDEX(M_COA[ACCOUNT],B17),0)</f>
        <v>2164 Workers Comp Payable</v>
      </c>
      <c r="G17" s="417" cm="1">
        <f t="array" ref="G17">IFERROR(INDEX(M_COA[CY],B17),0)</f>
        <v>0</v>
      </c>
      <c r="H17" s="417" cm="1">
        <f t="array" ref="H17">IFERROR(INDEX(M_COA[PY1],B17),0)</f>
        <v>8585.9700000000012</v>
      </c>
    </row>
    <row r="18" spans="2:8">
      <c r="B18" s="410" t="str">
        <f>IFERROR(MATCH(D18,M_COA[LSheetID],0),"")</f>
        <v/>
      </c>
      <c r="C18" s="371"/>
      <c r="D18" s="371"/>
      <c r="F18" s="398"/>
      <c r="G18" s="398"/>
      <c r="H18" s="398"/>
    </row>
    <row r="19" spans="2:8" ht="13.5" thickBot="1">
      <c r="B19" s="363"/>
      <c r="C19" s="371"/>
      <c r="D19" s="371"/>
      <c r="E19" s="371"/>
      <c r="F19" s="372"/>
      <c r="G19" s="411">
        <f>SUM(G11:G17)</f>
        <v>-248447.89</v>
      </c>
      <c r="H19" s="411">
        <f>SUM(H11:H17)</f>
        <v>-142976.07000000044</v>
      </c>
    </row>
    <row r="20" spans="2:8" ht="13.5" thickTop="1">
      <c r="B20" s="363"/>
      <c r="C20" s="373"/>
      <c r="D20" s="373"/>
      <c r="E20" s="373"/>
      <c r="F20" s="373"/>
      <c r="G20" s="374"/>
      <c r="H20" s="374"/>
    </row>
    <row r="23" spans="2:8">
      <c r="E23" s="362" t="s">
        <v>0</v>
      </c>
    </row>
  </sheetData>
  <mergeCells count="1">
    <mergeCell ref="B9:D9"/>
  </mergeCells>
  <hyperlinks>
    <hyperlink ref="A1" location="'TABLE OF CONTENTS'!A1" display="INDEX" xr:uid="{1D287311-6E77-47AB-9EF4-35C44B86127F}"/>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69724-976F-4134-9846-B11F42A85505}">
  <sheetPr codeName="Sheet36">
    <tabColor theme="5"/>
  </sheetPr>
  <dimension ref="A1:M40"/>
  <sheetViews>
    <sheetView workbookViewId="0">
      <selection activeCell="N28" sqref="N28"/>
    </sheetView>
  </sheetViews>
  <sheetFormatPr defaultRowHeight="12.75"/>
  <cols>
    <col min="6" max="6" width="21.7109375" customWidth="1"/>
    <col min="7" max="7" width="7.5703125" customWidth="1"/>
    <col min="8" max="8" width="9" customWidth="1"/>
    <col min="9" max="9" width="17.28515625" customWidth="1"/>
    <col min="10" max="10" width="36.5703125" customWidth="1"/>
    <col min="11" max="11" width="13.7109375" customWidth="1"/>
    <col min="12" max="12" width="11.42578125" customWidth="1"/>
  </cols>
  <sheetData>
    <row r="1" spans="1:13">
      <c r="A1" s="59" t="s">
        <v>1650</v>
      </c>
      <c r="B1" s="363"/>
      <c r="C1" s="713" t="s">
        <v>1424</v>
      </c>
      <c r="D1" s="362"/>
      <c r="E1" s="362"/>
      <c r="F1" s="362"/>
      <c r="G1" s="362"/>
      <c r="H1" s="362"/>
    </row>
    <row r="2" spans="1:13">
      <c r="A2" s="363" t="s">
        <v>1383</v>
      </c>
      <c r="B2" s="363"/>
      <c r="C2" s="363"/>
      <c r="D2" s="363"/>
      <c r="E2" s="363"/>
      <c r="F2" s="363"/>
      <c r="G2" s="363"/>
      <c r="H2" s="363"/>
      <c r="I2" s="362"/>
    </row>
    <row r="3" spans="1:13">
      <c r="A3" s="362"/>
      <c r="C3" s="363"/>
      <c r="D3" s="363"/>
      <c r="E3" s="363"/>
      <c r="F3" s="363"/>
      <c r="G3" s="363"/>
      <c r="H3" s="363"/>
      <c r="I3" s="362"/>
    </row>
    <row r="4" spans="1:13" ht="15.75">
      <c r="A4" s="362"/>
      <c r="B4" s="363"/>
      <c r="C4" s="362"/>
      <c r="D4" s="402"/>
      <c r="E4" s="402"/>
      <c r="F4" s="1310" t="str">
        <f>COA!B2</f>
        <v>ANONYMOUS COMPANY</v>
      </c>
      <c r="G4" s="1310"/>
      <c r="H4" s="1310"/>
      <c r="I4" s="1310"/>
      <c r="J4" s="1310"/>
      <c r="K4" s="1310"/>
      <c r="L4" s="1310"/>
      <c r="M4" s="401" t="str">
        <f>A2</f>
        <v>BB1</v>
      </c>
    </row>
    <row r="5" spans="1:13" ht="15.75">
      <c r="A5" s="362"/>
      <c r="B5" s="363"/>
      <c r="C5" s="362"/>
      <c r="D5" s="404"/>
      <c r="E5" s="405" t="s">
        <v>0</v>
      </c>
      <c r="F5" s="1311" t="str">
        <f>UPPER(_xlfn.XLOOKUP(A2,COA!G1:G174,COA!I1:I174))</f>
        <v>ACCOUNTS PAYABLE</v>
      </c>
      <c r="G5" s="1311"/>
      <c r="H5" s="1311"/>
      <c r="I5" s="1311"/>
      <c r="J5" s="1311"/>
      <c r="K5" s="1311"/>
      <c r="L5" s="1311"/>
    </row>
    <row r="6" spans="1:13">
      <c r="A6" s="362"/>
      <c r="B6" s="363"/>
      <c r="C6" s="362"/>
      <c r="D6" s="406"/>
      <c r="E6" s="406"/>
      <c r="F6" s="1293" t="str">
        <f>"FOR THE YEAR ENDED "&amp;UPPER(TEXT(COA!$B$4,"MMMM DD, YYYY"))</f>
        <v>FOR THE YEAR ENDED DECEMBER 31, 2025</v>
      </c>
      <c r="G6" s="1293"/>
      <c r="H6" s="1293"/>
      <c r="I6" s="1293"/>
      <c r="J6" s="1293"/>
      <c r="K6" s="1293"/>
      <c r="L6" s="1293"/>
    </row>
    <row r="7" spans="1:13">
      <c r="A7" s="362"/>
      <c r="B7" s="363"/>
      <c r="C7" s="363"/>
      <c r="D7" s="363"/>
      <c r="E7" s="363"/>
      <c r="F7" s="363"/>
      <c r="G7" s="363"/>
      <c r="H7" s="363"/>
      <c r="I7" s="362"/>
    </row>
    <row r="8" spans="1:13">
      <c r="A8" s="362"/>
      <c r="B8" s="363"/>
      <c r="C8" s="364"/>
      <c r="D8" s="364"/>
      <c r="E8" s="365"/>
      <c r="F8" s="365"/>
      <c r="G8" s="364"/>
      <c r="H8" s="364"/>
      <c r="I8" s="362"/>
    </row>
    <row r="9" spans="1:13" ht="13.5" thickBot="1">
      <c r="A9" s="362"/>
      <c r="B9" s="1293" t="s">
        <v>357</v>
      </c>
      <c r="C9" s="1293"/>
      <c r="D9" s="1293"/>
      <c r="E9" s="366" t="s">
        <v>0</v>
      </c>
      <c r="F9" s="570" t="s">
        <v>356</v>
      </c>
      <c r="G9" s="572"/>
      <c r="H9" s="572"/>
      <c r="I9" s="577"/>
      <c r="J9" s="572"/>
      <c r="K9" s="573">
        <f>YEAR(COA!B4)</f>
        <v>2025</v>
      </c>
      <c r="L9" s="573">
        <f>K9-1</f>
        <v>2024</v>
      </c>
    </row>
    <row r="10" spans="1:13" ht="13.5" thickTop="1">
      <c r="A10" s="362"/>
      <c r="B10" s="408" t="s">
        <v>358</v>
      </c>
      <c r="C10" s="409" t="s">
        <v>359</v>
      </c>
      <c r="D10" s="409" t="s">
        <v>360</v>
      </c>
      <c r="E10" s="362"/>
      <c r="F10" s="369"/>
      <c r="I10" s="362"/>
      <c r="K10" s="370"/>
      <c r="L10" s="370"/>
    </row>
    <row r="11" spans="1:13">
      <c r="A11" s="362"/>
      <c r="B11" s="410">
        <f>IFERROR(MATCH(D11,M_COA[LSheetID],0),"")</f>
        <v>36</v>
      </c>
      <c r="C11" s="371">
        <f>1</f>
        <v>1</v>
      </c>
      <c r="D11" s="371" t="s">
        <v>1383</v>
      </c>
      <c r="E11" s="362"/>
      <c r="F11" s="398" t="str" cm="1">
        <f t="array" ref="F11">IFERROR(INDEX(M_COA[ACCOUNT],B11),0)</f>
        <v>2150 Accounts payable</v>
      </c>
      <c r="I11" s="362"/>
      <c r="K11" s="398" cm="1">
        <f t="array" ref="K11">IFERROR(INDEX(M_COA[CY],B11),0)</f>
        <v>-3520.4799999999996</v>
      </c>
      <c r="L11" s="398" cm="1">
        <f t="array" ref="L11">IFERROR(INDEX(M_COA[PY1],B11),0)</f>
        <v>-111812.99</v>
      </c>
    </row>
    <row r="12" spans="1:13">
      <c r="A12" s="362"/>
      <c r="B12" s="410" t="str">
        <f>IFERROR(MATCH(D12,M_COA[LSheetID],0),"")</f>
        <v/>
      </c>
      <c r="C12" s="371">
        <f t="shared" ref="C12:C17" si="0">C11+1</f>
        <v>2</v>
      </c>
      <c r="D12" s="371" t="str">
        <f t="shared" ref="D12:D17" si="1">_xlfn.CONCAT($M$4,C12)</f>
        <v>BB12</v>
      </c>
      <c r="E12" s="362"/>
      <c r="F12" s="398" cm="1">
        <f t="array" ref="F12">IFERROR(INDEX(M_COA[ACCOUNT],B12),0)</f>
        <v>0</v>
      </c>
      <c r="I12" s="362"/>
      <c r="K12" s="398" cm="1">
        <f t="array" ref="K12">IFERROR(INDEX(M_COA[CY],B12),0)</f>
        <v>0</v>
      </c>
      <c r="L12" s="398" cm="1">
        <f t="array" ref="L12">IFERROR(INDEX(M_COA[PY1],B12),0)</f>
        <v>0</v>
      </c>
    </row>
    <row r="13" spans="1:13">
      <c r="A13" s="362"/>
      <c r="B13" s="410" t="str">
        <f>IFERROR(MATCH(D13,M_COA[LSheetID],0),"")</f>
        <v/>
      </c>
      <c r="C13" s="371">
        <f t="shared" si="0"/>
        <v>3</v>
      </c>
      <c r="D13" s="371" t="str">
        <f t="shared" si="1"/>
        <v>BB13</v>
      </c>
      <c r="E13" s="362"/>
      <c r="F13" s="398" cm="1">
        <f t="array" ref="F13">IFERROR(INDEX(M_COA[ACCOUNT],B13),0)</f>
        <v>0</v>
      </c>
      <c r="I13" s="362"/>
      <c r="K13" s="398" cm="1">
        <f t="array" ref="K13">IFERROR(INDEX(M_COA[CY],B13),0)</f>
        <v>0</v>
      </c>
      <c r="L13" s="398" cm="1">
        <f t="array" ref="L13">IFERROR(INDEX(M_COA[PY1],B13),0)</f>
        <v>0</v>
      </c>
    </row>
    <row r="14" spans="1:13">
      <c r="A14" s="362"/>
      <c r="B14" s="410" t="str">
        <f>IFERROR(MATCH(D14,M_COA[LSheetID],0),"")</f>
        <v/>
      </c>
      <c r="C14" s="371">
        <f t="shared" si="0"/>
        <v>4</v>
      </c>
      <c r="D14" s="371" t="str">
        <f t="shared" si="1"/>
        <v>BB14</v>
      </c>
      <c r="E14" s="362"/>
      <c r="F14" s="398" cm="1">
        <f t="array" ref="F14">IFERROR(INDEX(M_COA[ACCOUNT],B14),0)</f>
        <v>0</v>
      </c>
      <c r="I14" s="362"/>
      <c r="K14" s="398" cm="1">
        <f t="array" ref="K14">IFERROR(INDEX(M_COA[CY],B14),0)</f>
        <v>0</v>
      </c>
      <c r="L14" s="398" cm="1">
        <f t="array" ref="L14">IFERROR(INDEX(M_COA[PY1],B14),0)</f>
        <v>0</v>
      </c>
    </row>
    <row r="15" spans="1:13">
      <c r="A15" s="362"/>
      <c r="B15" s="410" t="str">
        <f>IFERROR(MATCH(D15,M_COA[LSheetID],0),"")</f>
        <v/>
      </c>
      <c r="C15" s="371">
        <f t="shared" si="0"/>
        <v>5</v>
      </c>
      <c r="D15" s="371" t="str">
        <f t="shared" si="1"/>
        <v>BB15</v>
      </c>
      <c r="E15" s="362"/>
      <c r="F15" s="398" cm="1">
        <f t="array" ref="F15">IFERROR(INDEX(M_COA[ACCOUNT],B15),0)</f>
        <v>0</v>
      </c>
      <c r="I15" s="362"/>
      <c r="K15" s="398" cm="1">
        <f t="array" ref="K15">IFERROR(INDEX(M_COA[CY],B15),0)</f>
        <v>0</v>
      </c>
      <c r="L15" s="398" cm="1">
        <f t="array" ref="L15">IFERROR(INDEX(M_COA[PY1],B15),0)</f>
        <v>0</v>
      </c>
    </row>
    <row r="16" spans="1:13">
      <c r="A16" s="362"/>
      <c r="B16" s="410" t="str">
        <f>IFERROR(MATCH(D16,M_COA[LSheetID],0),"")</f>
        <v/>
      </c>
      <c r="C16" s="371">
        <f t="shared" si="0"/>
        <v>6</v>
      </c>
      <c r="D16" s="371" t="str">
        <f t="shared" si="1"/>
        <v>BB16</v>
      </c>
      <c r="E16" s="362"/>
      <c r="F16" s="398" cm="1">
        <f t="array" ref="F16">IFERROR(INDEX(M_COA[ACCOUNT],B16),0)</f>
        <v>0</v>
      </c>
      <c r="I16" s="362"/>
      <c r="K16" s="398" cm="1">
        <f t="array" ref="K16">IFERROR(INDEX(M_COA[CY],B16),0)</f>
        <v>0</v>
      </c>
      <c r="L16" s="398" cm="1">
        <f t="array" ref="L16">IFERROR(INDEX(M_COA[PY1],B16),0)</f>
        <v>0</v>
      </c>
    </row>
    <row r="17" spans="1:12">
      <c r="A17" s="362"/>
      <c r="B17" s="410" t="str">
        <f>IFERROR(MATCH(D17,M_COA[LSheetID],0),"")</f>
        <v/>
      </c>
      <c r="C17" s="371">
        <f t="shared" si="0"/>
        <v>7</v>
      </c>
      <c r="D17" s="371" t="str">
        <f t="shared" si="1"/>
        <v>BB17</v>
      </c>
      <c r="E17" s="362"/>
      <c r="F17" s="398" cm="1">
        <f t="array" ref="F17">IFERROR(INDEX(M_COA[ACCOUNT],B17),0)</f>
        <v>0</v>
      </c>
      <c r="I17" s="362"/>
      <c r="K17" s="417" cm="1">
        <f t="array" ref="K17">IFERROR(INDEX(M_COA[CY],B17),0)</f>
        <v>0</v>
      </c>
      <c r="L17" s="417" cm="1">
        <f t="array" ref="L17">IFERROR(INDEX(M_COA[PY1],B17),0)</f>
        <v>0</v>
      </c>
    </row>
    <row r="18" spans="1:12">
      <c r="A18" s="362"/>
      <c r="B18" s="410" t="str">
        <f>IFERROR(MATCH(D18,M_COA[LSheetID],0),"")</f>
        <v/>
      </c>
      <c r="C18" s="371"/>
      <c r="D18" s="371"/>
      <c r="E18" s="362"/>
      <c r="F18" s="398"/>
      <c r="I18" s="362"/>
      <c r="K18" s="398"/>
      <c r="L18" s="398"/>
    </row>
    <row r="19" spans="1:12" ht="13.5" thickBot="1">
      <c r="A19" s="362"/>
      <c r="B19" s="363"/>
      <c r="C19" s="371"/>
      <c r="D19" s="371"/>
      <c r="E19" s="371"/>
      <c r="F19" s="372"/>
      <c r="I19" s="362"/>
      <c r="K19" s="411">
        <f>SUM(K11:K17)</f>
        <v>-3520.4799999999996</v>
      </c>
      <c r="L19" s="411">
        <f>SUM(L11:L17)</f>
        <v>-111812.99</v>
      </c>
    </row>
    <row r="20" spans="1:12" ht="13.5" thickTop="1">
      <c r="A20" s="362"/>
      <c r="B20" s="363"/>
      <c r="C20" s="373"/>
      <c r="D20" s="373"/>
      <c r="E20" s="373"/>
      <c r="F20" s="373"/>
      <c r="G20" s="374"/>
      <c r="H20" s="374"/>
      <c r="I20" s="362"/>
    </row>
    <row r="21" spans="1:12">
      <c r="A21" s="362"/>
      <c r="B21" s="362"/>
      <c r="C21" s="362"/>
      <c r="D21" s="362"/>
      <c r="E21" s="362"/>
      <c r="G21" s="562" t="s">
        <v>1397</v>
      </c>
      <c r="H21" s="563" t="s">
        <v>8</v>
      </c>
      <c r="I21" s="563" t="s">
        <v>7</v>
      </c>
      <c r="J21" s="563" t="s">
        <v>667</v>
      </c>
      <c r="K21" s="564" t="s">
        <v>13</v>
      </c>
    </row>
    <row r="22" spans="1:12">
      <c r="G22" s="362">
        <v>1</v>
      </c>
      <c r="H22" s="362">
        <f>IFERROR(INDEX(PJ!$C$6:$C$19,MATCH(G22,PJ!$L$6:$L$19,0)),"")</f>
        <v>122</v>
      </c>
      <c r="I22" s="565">
        <f>IFERROR(INDEX(PJ!$B$6:$B$19,MATCH(G22,PJ!$L$6:$L$19,0)),"")</f>
        <v>45869</v>
      </c>
      <c r="J22" s="362" t="str">
        <f>IFERROR(INDEX(PJ!$E$6:$E$18,MATCH(G22,PJ!$L$6:$L$19,0)),"")</f>
        <v>E-1000 Eastern Market Wholesale</v>
      </c>
      <c r="K22" s="1270">
        <f>IFERROR(INDEX(PJ!$M$6:$M$18,MATCH(G22,PJ!$L$6:$L$19,0)),"")</f>
        <v>-2486.48</v>
      </c>
    </row>
    <row r="23" spans="1:12">
      <c r="G23" s="362">
        <f>G22+1</f>
        <v>2</v>
      </c>
      <c r="H23" s="362">
        <f>IFERROR(INDEX(PJ!$C$6:$C$19,MATCH(G23,PJ!$L$6:$L$19,0)),"")</f>
        <v>123</v>
      </c>
      <c r="I23" s="565">
        <f>IFERROR(INDEX(PJ!$B$6:$B$19,MATCH(G23,PJ!$L$6:$L$19,0)),"")</f>
        <v>45838</v>
      </c>
      <c r="J23" s="362" t="str">
        <f>IFERROR(INDEX(PJ!$E$6:$E$18,MATCH(G23,PJ!$L$6:$L$19,0)),"")</f>
        <v xml:space="preserve">R-1099 Rock Security </v>
      </c>
      <c r="K23" s="1270">
        <f>IFERROR(INDEX(PJ!$M$6:$M$18,MATCH(G23,PJ!$L$6:$L$19,0)),"")</f>
        <v>-1034</v>
      </c>
    </row>
    <row r="24" spans="1:12">
      <c r="G24" s="362">
        <f t="shared" ref="G24:G35" si="2">G23+1</f>
        <v>3</v>
      </c>
      <c r="H24" s="362" t="str">
        <f>IFERROR(INDEX(PJ!$C$6:$C$19,MATCH(G24,PJ!$L$6:$L$19,0)),"")</f>
        <v/>
      </c>
      <c r="I24" s="565" t="str">
        <f>IFERROR(INDEX(PJ!$B$6:$B$19,MATCH(G24,PJ!$L$6:$L$19,0)),"")</f>
        <v/>
      </c>
      <c r="J24" s="362" t="str">
        <f>IFERROR(INDEX(PJ!$E$6:$E$18,MATCH(G24,PJ!$L$6:$L$19,0)),"")</f>
        <v/>
      </c>
      <c r="K24" s="1270" t="str">
        <f>IFERROR(INDEX(PJ!$M$6:$M$18,MATCH(G24,PJ!$L$6:$L$19,0)),"")</f>
        <v/>
      </c>
    </row>
    <row r="25" spans="1:12">
      <c r="G25" s="362">
        <f t="shared" si="2"/>
        <v>4</v>
      </c>
      <c r="H25" s="362" t="str">
        <f>IFERROR(INDEX(PJ!$C$6:$C$19,MATCH(G25,PJ!$L$6:$L$19,0)),"")</f>
        <v/>
      </c>
      <c r="I25" s="565" t="str">
        <f>IFERROR(INDEX(PJ!$B$6:$B$19,MATCH(G25,PJ!$L$6:$L$19,0)),"")</f>
        <v/>
      </c>
      <c r="J25" s="362" t="str">
        <f>IFERROR(INDEX(PJ!$E$6:$E$18,MATCH(G25,PJ!$L$6:$L$19,0)),"")</f>
        <v/>
      </c>
      <c r="K25" s="1270" t="str">
        <f>IFERROR(INDEX(PJ!$M$6:$M$18,MATCH(G25,PJ!$L$6:$L$19,0)),"")</f>
        <v/>
      </c>
    </row>
    <row r="26" spans="1:12">
      <c r="G26" s="362">
        <f t="shared" si="2"/>
        <v>5</v>
      </c>
      <c r="H26" s="362" t="str">
        <f>IFERROR(INDEX(PJ!$C$6:$C$19,MATCH(G26,PJ!$L$6:$L$19,0)),"")</f>
        <v/>
      </c>
      <c r="I26" s="565" t="str">
        <f>IFERROR(INDEX(PJ!$B$6:$B$19,MATCH(G26,PJ!$L$6:$L$19,0)),"")</f>
        <v/>
      </c>
      <c r="J26" s="362" t="str">
        <f>IFERROR(INDEX(PJ!$E$6:$E$18,MATCH(G26,PJ!$L$6:$L$19,0)),"")</f>
        <v/>
      </c>
      <c r="K26" s="1270" t="str">
        <f>IFERROR(INDEX(PJ!$M$6:$M$18,MATCH(G26,PJ!$L$6:$L$19,0)),"")</f>
        <v/>
      </c>
    </row>
    <row r="27" spans="1:12">
      <c r="G27" s="362">
        <f t="shared" si="2"/>
        <v>6</v>
      </c>
      <c r="H27" s="362" t="str">
        <f>IFERROR(INDEX(PJ!$C$6:$C$19,MATCH(G27,PJ!$L$6:$L$19,0)),"")</f>
        <v/>
      </c>
      <c r="I27" s="565" t="str">
        <f>IFERROR(INDEX(PJ!$B$6:$B$19,MATCH(G27,PJ!$L$6:$L$19,0)),"")</f>
        <v/>
      </c>
      <c r="J27" s="362" t="str">
        <f>IFERROR(INDEX(PJ!$E$6:$E$18,MATCH(G27,PJ!$L$6:$L$19,0)),"")</f>
        <v/>
      </c>
      <c r="K27" s="1270" t="str">
        <f>IFERROR(INDEX(PJ!$M$6:$M$18,MATCH(G27,PJ!$L$6:$L$19,0)),"")</f>
        <v/>
      </c>
    </row>
    <row r="28" spans="1:12">
      <c r="G28" s="362">
        <f t="shared" si="2"/>
        <v>7</v>
      </c>
      <c r="H28" s="362" t="str">
        <f>IFERROR(INDEX(PJ!$C$6:$C$19,MATCH(G28,PJ!$L$6:$L$19,0)),"")</f>
        <v/>
      </c>
      <c r="I28" s="565" t="str">
        <f>IFERROR(INDEX(PJ!$B$6:$B$19,MATCH(G28,PJ!$L$6:$L$19,0)),"")</f>
        <v/>
      </c>
      <c r="J28" s="362" t="str">
        <f>IFERROR(INDEX(PJ!$E$6:$E$18,MATCH(G28,PJ!$L$6:$L$19,0)),"")</f>
        <v/>
      </c>
      <c r="K28" s="1270" t="str">
        <f>IFERROR(INDEX(PJ!$M$6:$M$18,MATCH(G28,PJ!$L$6:$L$19,0)),"")</f>
        <v/>
      </c>
    </row>
    <row r="29" spans="1:12">
      <c r="G29" s="362">
        <f t="shared" si="2"/>
        <v>8</v>
      </c>
      <c r="H29" s="362" t="str">
        <f>IFERROR(INDEX(PJ!$C$6:$C$19,MATCH(G29,PJ!$L$6:$L$19,0)),"")</f>
        <v/>
      </c>
      <c r="I29" s="565" t="str">
        <f>IFERROR(INDEX(PJ!$B$6:$B$19,MATCH(G29,PJ!$L$6:$L$19,0)),"")</f>
        <v/>
      </c>
      <c r="J29" s="362" t="str">
        <f>IFERROR(INDEX(PJ!$E$6:$E$18,MATCH(G29,PJ!$L$6:$L$19,0)),"")</f>
        <v/>
      </c>
      <c r="K29" s="1270" t="str">
        <f>IFERROR(INDEX(PJ!$M$6:$M$18,MATCH(G29,PJ!$L$6:$L$19,0)),"")</f>
        <v/>
      </c>
    </row>
    <row r="30" spans="1:12">
      <c r="G30" s="362">
        <f t="shared" si="2"/>
        <v>9</v>
      </c>
      <c r="H30" s="362" t="str">
        <f>IFERROR(INDEX(PJ!$C$6:$C$19,MATCH(G30,PJ!$L$6:$L$19,0)),"")</f>
        <v/>
      </c>
      <c r="I30" s="565" t="str">
        <f>IFERROR(INDEX(PJ!$B$6:$B$19,MATCH(G30,PJ!$L$6:$L$19,0)),"")</f>
        <v/>
      </c>
      <c r="J30" s="362" t="str">
        <f>IFERROR(INDEX(PJ!$E$6:$E$18,MATCH(G30,PJ!$L$6:$L$19,0)),"")</f>
        <v/>
      </c>
      <c r="K30" s="1270" t="str">
        <f>IFERROR(INDEX(PJ!$M$6:$M$18,MATCH(G30,PJ!$L$6:$L$19,0)),"")</f>
        <v/>
      </c>
    </row>
    <row r="31" spans="1:12">
      <c r="G31" s="362">
        <f t="shared" si="2"/>
        <v>10</v>
      </c>
      <c r="H31" s="362" t="str">
        <f>IFERROR(INDEX(PJ!$C$6:$C$19,MATCH(G31,PJ!$L$6:$L$19,0)),"")</f>
        <v/>
      </c>
      <c r="I31" s="565" t="str">
        <f>IFERROR(INDEX(PJ!$B$6:$B$19,MATCH(G31,PJ!$L$6:$L$19,0)),"")</f>
        <v/>
      </c>
      <c r="J31" s="362" t="str">
        <f>IFERROR(INDEX(PJ!$E$6:$E$18,MATCH(G31,PJ!$L$6:$L$19,0)),"")</f>
        <v/>
      </c>
      <c r="K31" s="1270" t="str">
        <f>IFERROR(INDEX(PJ!$M$6:$M$18,MATCH(G31,PJ!$L$6:$L$19,0)),"")</f>
        <v/>
      </c>
    </row>
    <row r="32" spans="1:12">
      <c r="G32" s="362">
        <f t="shared" si="2"/>
        <v>11</v>
      </c>
      <c r="H32" s="362" t="str">
        <f>IFERROR(INDEX(PJ!$C$6:$C$19,MATCH(G32,PJ!$L$6:$L$19,0)),"")</f>
        <v/>
      </c>
      <c r="I32" s="565" t="str">
        <f>IFERROR(INDEX(PJ!$B$6:$B$19,MATCH(G32,PJ!$L$6:$L$19,0)),"")</f>
        <v/>
      </c>
      <c r="J32" s="362" t="str">
        <f>IFERROR(INDEX(PJ!$E$6:$E$18,MATCH(G32,PJ!$L$6:$L$19,0)),"")</f>
        <v/>
      </c>
      <c r="K32" s="1270" t="str">
        <f>IFERROR(INDEX(PJ!$M$6:$M$18,MATCH(G32,PJ!$L$6:$L$19,0)),"")</f>
        <v/>
      </c>
    </row>
    <row r="33" spans="6:12">
      <c r="G33" s="362">
        <f t="shared" si="2"/>
        <v>12</v>
      </c>
      <c r="H33" s="362" t="str">
        <f>IFERROR(INDEX(PJ!$C$6:$C$19,MATCH(G33,PJ!$L$6:$L$19,0)),"")</f>
        <v/>
      </c>
      <c r="I33" s="565" t="str">
        <f>IFERROR(INDEX(PJ!$B$6:$B$19,MATCH(G33,PJ!$L$6:$L$19,0)),"")</f>
        <v/>
      </c>
      <c r="J33" s="362" t="str">
        <f>IFERROR(INDEX(PJ!$E$6:$E$18,MATCH(G33,PJ!$L$6:$L$19,0)),"")</f>
        <v/>
      </c>
      <c r="K33" s="1270" t="str">
        <f>IFERROR(INDEX(PJ!$M$6:$M$18,MATCH(G33,PJ!$L$6:$L$19,0)),"")</f>
        <v/>
      </c>
    </row>
    <row r="34" spans="6:12">
      <c r="G34" s="362">
        <f t="shared" si="2"/>
        <v>13</v>
      </c>
      <c r="H34" s="362" t="str">
        <f>IFERROR(INDEX(PJ!$C$6:$C$19,MATCH(G34,PJ!$L$6:$L$19,0)),"")</f>
        <v/>
      </c>
      <c r="I34" s="565" t="str">
        <f>IFERROR(INDEX(PJ!$B$6:$B$19,MATCH(G34,PJ!$L$6:$L$19,0)),"")</f>
        <v/>
      </c>
      <c r="J34" s="362" t="str">
        <f>IFERROR(INDEX(PJ!$E$6:$E$18,MATCH(G34,PJ!$L$6:$L$19,0)),"")</f>
        <v/>
      </c>
      <c r="K34" s="1270" t="str">
        <f>IFERROR(INDEX(PJ!$M$6:$M$18,MATCH(G34,PJ!$L$6:$L$19,0)),"")</f>
        <v/>
      </c>
    </row>
    <row r="35" spans="6:12">
      <c r="G35" s="362">
        <f t="shared" si="2"/>
        <v>14</v>
      </c>
      <c r="H35" s="362" t="str">
        <f>IFERROR(INDEX(PJ!$C$6:$C$19,MATCH(G35,PJ!$L$6:$L$19,0)),"")</f>
        <v/>
      </c>
      <c r="I35" s="565" t="str">
        <f>IFERROR(INDEX(PJ!$B$6:$B$19,MATCH(G35,PJ!$L$6:$L$19,0)),"")</f>
        <v/>
      </c>
      <c r="J35" s="362" t="str">
        <f>IFERROR(INDEX(PJ!$E$6:$E$18,MATCH(G35,PJ!$L$6:$L$19,0)),"")</f>
        <v/>
      </c>
      <c r="K35" s="1270" t="str">
        <f>IFERROR(INDEX(PJ!$M$6:$M$18,MATCH(G35,PJ!$L$6:$L$19,0)),"")</f>
        <v/>
      </c>
    </row>
    <row r="36" spans="6:12" ht="13.5" thickBot="1">
      <c r="F36" s="572"/>
      <c r="G36" s="577" t="str">
        <f>IFERROR(INDEX(SJ!$C$9:$C$35,MATCH(#REF!,SJ!$A$9:$A$35,0)),"")</f>
        <v/>
      </c>
      <c r="H36" s="577" t="s">
        <v>0</v>
      </c>
      <c r="I36" s="717" t="str">
        <f>IFERROR(INDEX(PJ!$B$6:$B$19,MATCH(G36,PJ!$L$6:$L$19,0)),"")</f>
        <v/>
      </c>
      <c r="J36" s="577" t="s">
        <v>0</v>
      </c>
      <c r="K36" s="1271">
        <f>SUM(K22:K35)</f>
        <v>-3520.48</v>
      </c>
      <c r="L36" s="572"/>
    </row>
    <row r="37" spans="6:12" ht="13.5" thickTop="1">
      <c r="G37" s="362" t="s">
        <v>0</v>
      </c>
      <c r="H37" s="362" t="s">
        <v>0</v>
      </c>
      <c r="I37" s="565">
        <f>IFERROR(INDEX(PJ!$B$6:$B$19,MATCH(G37,PJ!$L$6:$L$19,0)),"")</f>
        <v>46022</v>
      </c>
      <c r="J37" s="362" t="s">
        <v>0</v>
      </c>
      <c r="K37" s="569"/>
    </row>
    <row r="38" spans="6:12">
      <c r="F38" s="362"/>
      <c r="G38" s="362"/>
      <c r="H38" s="568"/>
      <c r="I38" s="568"/>
      <c r="J38" s="568"/>
      <c r="K38" s="569"/>
    </row>
    <row r="39" spans="6:12">
      <c r="F39" s="362"/>
      <c r="G39" s="362"/>
      <c r="H39" s="568"/>
      <c r="I39" s="568"/>
      <c r="J39" s="568"/>
      <c r="K39" s="569"/>
    </row>
    <row r="40" spans="6:12">
      <c r="F40" s="362"/>
      <c r="G40" s="362"/>
      <c r="H40" s="568"/>
      <c r="I40" s="568"/>
      <c r="J40" s="568"/>
      <c r="K40" s="569"/>
    </row>
  </sheetData>
  <mergeCells count="4">
    <mergeCell ref="B9:D9"/>
    <mergeCell ref="F4:L4"/>
    <mergeCell ref="F5:L5"/>
    <mergeCell ref="F6:L6"/>
  </mergeCells>
  <hyperlinks>
    <hyperlink ref="A1" location="'TABLE OF CONTENTS'!A1" display="INDEX" xr:uid="{35693708-BDD3-4D12-84E4-42E986182AF6}"/>
  </hyperlinks>
  <pageMargins left="0.7" right="0.7" top="0.75" bottom="0.75" header="0.3" footer="0.3"/>
  <tableParts count="1">
    <tablePart r:id="rId1"/>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A805A-9A1D-46F1-B145-157AFA68A940}">
  <sheetPr codeName="Sheet16">
    <tabColor theme="5"/>
  </sheetPr>
  <dimension ref="A1:I21"/>
  <sheetViews>
    <sheetView workbookViewId="0"/>
  </sheetViews>
  <sheetFormatPr defaultColWidth="9.140625" defaultRowHeight="12.75"/>
  <cols>
    <col min="1" max="4" width="9.140625" style="362"/>
    <col min="5" max="5" width="2.5703125" style="362" customWidth="1"/>
    <col min="6" max="6" width="37" style="362" customWidth="1"/>
    <col min="7" max="7" width="11.5703125" style="362" bestFit="1" customWidth="1"/>
    <col min="8" max="16384" width="9.140625" style="362"/>
  </cols>
  <sheetData>
    <row r="1" spans="1:9">
      <c r="A1" s="59" t="s">
        <v>1650</v>
      </c>
      <c r="B1" s="363"/>
      <c r="C1" s="424" t="str">
        <f>F5</f>
        <v>GOVERNMENT REMITTANCES</v>
      </c>
    </row>
    <row r="2" spans="1:9">
      <c r="A2" s="362" t="s">
        <v>1400</v>
      </c>
      <c r="B2" s="363"/>
      <c r="C2" s="363"/>
      <c r="D2" s="363"/>
      <c r="E2" s="363"/>
      <c r="F2" s="363"/>
      <c r="G2" s="363"/>
      <c r="H2" s="363"/>
    </row>
    <row r="3" spans="1:9">
      <c r="B3" s="363" t="s">
        <v>0</v>
      </c>
      <c r="C3" s="363" t="s">
        <v>0</v>
      </c>
      <c r="D3" s="363"/>
      <c r="E3" s="363"/>
      <c r="F3" s="363"/>
      <c r="G3" s="363"/>
      <c r="H3" s="363"/>
    </row>
    <row r="4" spans="1:9" ht="15.75">
      <c r="B4" s="363"/>
      <c r="D4" s="402"/>
      <c r="E4" s="402"/>
      <c r="F4" s="403" t="str">
        <f>COA!B2</f>
        <v>ANONYMOUS COMPANY</v>
      </c>
      <c r="G4" s="403"/>
      <c r="H4" s="403"/>
      <c r="I4" s="401" t="str">
        <f>MID(A2,1,2)</f>
        <v>DD</v>
      </c>
    </row>
    <row r="5" spans="1:9" ht="15.75">
      <c r="B5" s="363"/>
      <c r="D5" s="404"/>
      <c r="E5" s="405" t="s">
        <v>0</v>
      </c>
      <c r="F5" s="405" t="str">
        <f>UPPER(_xlfn.XLOOKUP(A2,COA!G1:G174,COA!I1:I174))</f>
        <v>GOVERNMENT REMITTANCES</v>
      </c>
      <c r="G5" s="405"/>
      <c r="H5" s="405"/>
    </row>
    <row r="6" spans="1:9">
      <c r="B6" s="363"/>
      <c r="D6" s="406"/>
      <c r="E6" s="406"/>
      <c r="F6" s="407" t="str">
        <f>"FOR THE YEAR ENDED "&amp;UPPER(TEXT(COA!$B$4,"MMMM DD, YYYY"))</f>
        <v>FOR THE YEAR ENDED DECEMBER 31, 2025</v>
      </c>
      <c r="G6" s="407"/>
      <c r="H6" s="407"/>
    </row>
    <row r="7" spans="1:9">
      <c r="B7" s="363"/>
      <c r="C7" s="363"/>
      <c r="D7" s="363"/>
      <c r="E7" s="363"/>
      <c r="F7" s="363"/>
      <c r="G7" s="363"/>
      <c r="H7" s="363"/>
    </row>
    <row r="8" spans="1:9">
      <c r="B8" s="363"/>
      <c r="C8" s="364"/>
      <c r="D8" s="364"/>
      <c r="E8" s="365"/>
      <c r="F8" s="365"/>
      <c r="G8" s="364"/>
      <c r="H8" s="364"/>
    </row>
    <row r="9" spans="1:9" ht="13.5" thickBot="1">
      <c r="B9" s="1293" t="s">
        <v>357</v>
      </c>
      <c r="C9" s="1293"/>
      <c r="D9" s="1293"/>
      <c r="E9" s="366" t="s">
        <v>0</v>
      </c>
      <c r="F9" s="367" t="s">
        <v>356</v>
      </c>
      <c r="G9" s="368">
        <f>YEAR(COA!B4)</f>
        <v>2025</v>
      </c>
      <c r="H9" s="368">
        <f>G9-1</f>
        <v>2024</v>
      </c>
    </row>
    <row r="10" spans="1:9">
      <c r="B10" s="408" t="s">
        <v>358</v>
      </c>
      <c r="C10" s="409" t="s">
        <v>359</v>
      </c>
      <c r="D10" s="409" t="s">
        <v>360</v>
      </c>
      <c r="F10" s="369"/>
      <c r="G10" s="370"/>
      <c r="H10" s="370"/>
    </row>
    <row r="11" spans="1:9">
      <c r="B11" s="410">
        <f>IFERROR(MATCH(D11,M_COA[LSheetID],0),"")</f>
        <v>42</v>
      </c>
      <c r="C11" s="371">
        <f>1</f>
        <v>1</v>
      </c>
      <c r="D11" s="371" t="str">
        <f t="shared" ref="D11:D17" si="0">_xlfn.CONCAT($I$4,C11)</f>
        <v>DD1</v>
      </c>
      <c r="F11" s="398" t="str" cm="1">
        <f t="array" ref="F11">IFERROR(INDEX(M_COA[ACCOUNT],B11),0)</f>
        <v>2162 Payroll Liabilities</v>
      </c>
      <c r="G11" s="398" cm="1">
        <f t="array" ref="G11">IFERROR(INDEX(M_COA[CY],B11),0)</f>
        <v>-2667</v>
      </c>
      <c r="H11" s="398" cm="1">
        <f t="array" ref="H11">IFERROR(INDEX(M_COA[PY1],B11),0)</f>
        <v>0</v>
      </c>
    </row>
    <row r="12" spans="1:9">
      <c r="B12" s="410">
        <f>IFERROR(MATCH(D12,M_COA[LSheetID],0),"")</f>
        <v>47</v>
      </c>
      <c r="C12" s="371">
        <f t="shared" ref="C12:C17" si="1">C11+1</f>
        <v>2</v>
      </c>
      <c r="D12" s="371" t="str">
        <f t="shared" si="0"/>
        <v>DD2</v>
      </c>
      <c r="F12" s="398" t="str" cm="1">
        <f t="array" ref="F12">IFERROR(INDEX(M_COA[ACCOUNT],B12),0)</f>
        <v>2205 HST Returns</v>
      </c>
      <c r="G12" s="398" cm="1">
        <f t="array" ref="G12">IFERROR(INDEX(M_COA[CY],B12),0)</f>
        <v>-55662.51</v>
      </c>
      <c r="H12" s="398" cm="1">
        <f t="array" ref="H12">IFERROR(INDEX(M_COA[PY1],B12),0)</f>
        <v>-32215.760000000002</v>
      </c>
    </row>
    <row r="13" spans="1:9">
      <c r="B13" s="410">
        <f>IFERROR(MATCH(D13,M_COA[LSheetID],0),"")</f>
        <v>48</v>
      </c>
      <c r="C13" s="371">
        <f t="shared" si="1"/>
        <v>3</v>
      </c>
      <c r="D13" s="371" t="str">
        <f t="shared" si="0"/>
        <v>DD3</v>
      </c>
      <c r="F13" s="398" t="str" cm="1">
        <f t="array" ref="F13">IFERROR(INDEX(M_COA[ACCOUNT],B13),0)</f>
        <v>2209 HST collected</v>
      </c>
      <c r="G13" s="398" cm="1">
        <f t="array" ref="G13">IFERROR(INDEX(M_COA[CY],B13),0)</f>
        <v>0</v>
      </c>
      <c r="H13" s="398" cm="1">
        <f t="array" ref="H13">IFERROR(INDEX(M_COA[PY1],B13),0)</f>
        <v>0</v>
      </c>
    </row>
    <row r="14" spans="1:9">
      <c r="B14" s="410">
        <f>IFERROR(MATCH(D14,M_COA[LSheetID],0),"")</f>
        <v>49</v>
      </c>
      <c r="C14" s="371">
        <f t="shared" si="1"/>
        <v>4</v>
      </c>
      <c r="D14" s="371" t="str">
        <f t="shared" si="0"/>
        <v>DD4</v>
      </c>
      <c r="F14" s="398" t="str" cm="1">
        <f t="array" ref="F14">IFERROR(INDEX(M_COA[ACCOUNT],B14),0)</f>
        <v>2210 ITC</v>
      </c>
      <c r="G14" s="398" cm="1">
        <f t="array" ref="G14">IFERROR(INDEX(M_COA[CY],B14),0)</f>
        <v>-3108.75</v>
      </c>
      <c r="H14" s="398" cm="1">
        <f t="array" ref="H14">IFERROR(INDEX(M_COA[PY1],B14),0)</f>
        <v>0</v>
      </c>
    </row>
    <row r="15" spans="1:9">
      <c r="B15" s="410" t="str">
        <f>IFERROR(MATCH(D15,M_COA[LSheetID],0),"")</f>
        <v/>
      </c>
      <c r="C15" s="371">
        <f t="shared" si="1"/>
        <v>5</v>
      </c>
      <c r="D15" s="371" t="str">
        <f t="shared" si="0"/>
        <v>DD5</v>
      </c>
      <c r="F15" s="398" cm="1">
        <f t="array" ref="F15">IFERROR(INDEX(M_COA[ACCOUNT],B15),0)</f>
        <v>0</v>
      </c>
      <c r="G15" s="398" cm="1">
        <f t="array" ref="G15">IFERROR(INDEX(M_COA[CY],B15),0)</f>
        <v>0</v>
      </c>
      <c r="H15" s="398" cm="1">
        <f t="array" ref="H15">IFERROR(INDEX(M_COA[PY1],B15),0)</f>
        <v>0</v>
      </c>
    </row>
    <row r="16" spans="1:9">
      <c r="B16" s="410" t="str">
        <f>IFERROR(MATCH(D16,M_COA[LSheetID],0),"")</f>
        <v/>
      </c>
      <c r="C16" s="371">
        <f t="shared" si="1"/>
        <v>6</v>
      </c>
      <c r="D16" s="371" t="str">
        <f t="shared" si="0"/>
        <v>DD6</v>
      </c>
      <c r="F16" s="398" cm="1">
        <f t="array" ref="F16">IFERROR(INDEX(M_COA[ACCOUNT],B16),0)</f>
        <v>0</v>
      </c>
      <c r="G16" s="398" cm="1">
        <f t="array" ref="G16">IFERROR(INDEX(M_COA[CY],B16),0)</f>
        <v>0</v>
      </c>
      <c r="H16" s="398" cm="1">
        <f t="array" ref="H16">IFERROR(INDEX(M_COA[PY1],B16),0)</f>
        <v>0</v>
      </c>
    </row>
    <row r="17" spans="2:8">
      <c r="B17" s="410" t="str">
        <f>IFERROR(MATCH(D17,M_COA[LSheetID],0),"")</f>
        <v/>
      </c>
      <c r="C17" s="371">
        <f t="shared" si="1"/>
        <v>7</v>
      </c>
      <c r="D17" s="371" t="str">
        <f t="shared" si="0"/>
        <v>DD7</v>
      </c>
      <c r="F17" s="398" cm="1">
        <f t="array" ref="F17">IFERROR(INDEX(M_COA[ACCOUNT],B17),0)</f>
        <v>0</v>
      </c>
      <c r="G17" s="417" cm="1">
        <f t="array" ref="G17">IFERROR(INDEX(M_COA[CY],B17),0)</f>
        <v>0</v>
      </c>
      <c r="H17" s="417" cm="1">
        <f t="array" ref="H17">IFERROR(INDEX(M_COA[PY1],B17),0)</f>
        <v>0</v>
      </c>
    </row>
    <row r="18" spans="2:8">
      <c r="B18" s="410" t="str">
        <f>IFERROR(MATCH(D18,M_COA[LSheetID],0),"")</f>
        <v/>
      </c>
      <c r="C18" s="371"/>
      <c r="D18" s="371"/>
      <c r="F18" s="398"/>
      <c r="G18" s="398"/>
      <c r="H18" s="398"/>
    </row>
    <row r="19" spans="2:8" ht="13.5" thickBot="1">
      <c r="B19" s="363"/>
      <c r="C19" s="371"/>
      <c r="D19" s="371"/>
      <c r="E19" s="371"/>
      <c r="F19" s="372"/>
      <c r="G19" s="411">
        <f>SUM(G11:G17)</f>
        <v>-61438.26</v>
      </c>
      <c r="H19" s="411">
        <f>SUM(H11:H17)</f>
        <v>-32215.760000000002</v>
      </c>
    </row>
    <row r="20" spans="2:8" ht="13.5" thickTop="1">
      <c r="B20" s="363"/>
      <c r="C20" s="373"/>
      <c r="D20" s="373"/>
      <c r="E20" s="373"/>
      <c r="F20" s="373"/>
      <c r="G20" s="374"/>
      <c r="H20" s="374"/>
    </row>
    <row r="21" spans="2:8">
      <c r="E21" s="362" t="s">
        <v>0</v>
      </c>
    </row>
  </sheetData>
  <mergeCells count="1">
    <mergeCell ref="B9:D9"/>
  </mergeCells>
  <hyperlinks>
    <hyperlink ref="A1" location="'TABLE OF CONTENTS'!A1" display="INDEX" xr:uid="{45994938-6D9F-4426-A3EA-A35AC5BB4AF4}"/>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EDBC5-29BA-4DB6-B95A-06930D07E97A}">
  <sheetPr codeName="Sheet23">
    <tabColor theme="5"/>
  </sheetPr>
  <dimension ref="A1:J27"/>
  <sheetViews>
    <sheetView workbookViewId="0"/>
  </sheetViews>
  <sheetFormatPr defaultColWidth="9.140625" defaultRowHeight="12.75"/>
  <cols>
    <col min="1" max="4" width="9.140625" style="362"/>
    <col min="5" max="5" width="4.28515625" style="362" customWidth="1"/>
    <col min="6" max="6" width="35.7109375" style="362" customWidth="1"/>
    <col min="7" max="7" width="17.42578125" style="362" bestFit="1" customWidth="1"/>
    <col min="8" max="16384" width="9.140625" style="362"/>
  </cols>
  <sheetData>
    <row r="1" spans="1:9">
      <c r="A1" s="59" t="s">
        <v>1650</v>
      </c>
      <c r="B1" s="363"/>
      <c r="C1" s="424" t="str">
        <f>F5</f>
        <v>CORPORATE INCOME TAX</v>
      </c>
    </row>
    <row r="2" spans="1:9">
      <c r="A2" s="362" t="s">
        <v>1401</v>
      </c>
      <c r="B2" s="363"/>
      <c r="C2" s="363"/>
      <c r="D2" s="363"/>
      <c r="E2" s="363"/>
      <c r="F2" s="363"/>
      <c r="G2" s="363"/>
      <c r="H2" s="363"/>
    </row>
    <row r="3" spans="1:9">
      <c r="B3" s="363" t="s">
        <v>0</v>
      </c>
      <c r="C3" s="363" t="s">
        <v>0</v>
      </c>
      <c r="D3" s="363"/>
      <c r="E3" s="363"/>
      <c r="F3" s="363"/>
      <c r="G3" s="363"/>
      <c r="H3" s="363"/>
    </row>
    <row r="4" spans="1:9" ht="15.75">
      <c r="B4" s="363"/>
      <c r="D4" s="402"/>
      <c r="E4" s="402"/>
      <c r="F4" s="403" t="str">
        <f>COA!B2</f>
        <v>ANONYMOUS COMPANY</v>
      </c>
      <c r="G4" s="403"/>
      <c r="H4" s="403"/>
      <c r="I4" s="401" t="str">
        <f>MID(A2,1,2)</f>
        <v>FF</v>
      </c>
    </row>
    <row r="5" spans="1:9" ht="15.75">
      <c r="B5" s="363"/>
      <c r="D5" s="404"/>
      <c r="E5" s="405" t="s">
        <v>0</v>
      </c>
      <c r="F5" s="405" t="str">
        <f>UPPER(_xlfn.XLOOKUP(A2,COA!G1:G174,COA!I1:I174))</f>
        <v>CORPORATE INCOME TAX</v>
      </c>
      <c r="G5" s="405"/>
      <c r="H5" s="405"/>
    </row>
    <row r="6" spans="1:9">
      <c r="B6" s="363"/>
      <c r="D6" s="406"/>
      <c r="E6" s="406"/>
      <c r="F6" s="407" t="str">
        <f>"FOR THE YEAR ENDED "&amp;UPPER(TEXT(COA!$B$4,"MMMM DD, YYYY"))</f>
        <v>FOR THE YEAR ENDED DECEMBER 31, 2025</v>
      </c>
      <c r="G6" s="407"/>
      <c r="H6" s="407"/>
    </row>
    <row r="7" spans="1:9">
      <c r="B7" s="363"/>
      <c r="C7" s="363"/>
      <c r="D7" s="363"/>
      <c r="E7" s="363"/>
      <c r="F7" s="363"/>
      <c r="G7" s="363"/>
      <c r="H7" s="363"/>
    </row>
    <row r="8" spans="1:9">
      <c r="B8" s="363"/>
      <c r="C8" s="364"/>
      <c r="D8" s="364"/>
      <c r="E8" s="365"/>
      <c r="F8" s="365"/>
      <c r="G8" s="364"/>
      <c r="H8" s="364"/>
    </row>
    <row r="9" spans="1:9" ht="13.5" thickBot="1">
      <c r="B9" s="1293" t="s">
        <v>357</v>
      </c>
      <c r="C9" s="1293"/>
      <c r="D9" s="1293"/>
      <c r="E9" s="366" t="s">
        <v>0</v>
      </c>
      <c r="F9" s="367" t="s">
        <v>356</v>
      </c>
      <c r="G9" s="368">
        <f>YEAR(COA!B4)</f>
        <v>2025</v>
      </c>
      <c r="H9" s="368">
        <f>G9-1</f>
        <v>2024</v>
      </c>
    </row>
    <row r="10" spans="1:9">
      <c r="B10" s="408" t="s">
        <v>358</v>
      </c>
      <c r="C10" s="409" t="s">
        <v>359</v>
      </c>
      <c r="D10" s="409" t="s">
        <v>360</v>
      </c>
      <c r="F10" s="369"/>
      <c r="G10" s="370"/>
      <c r="H10" s="370"/>
    </row>
    <row r="11" spans="1:9">
      <c r="B11" s="410">
        <f>IFERROR(MATCH(D11,M_COA[LSheetID],0),"")</f>
        <v>44</v>
      </c>
      <c r="C11" s="371">
        <f>1</f>
        <v>1</v>
      </c>
      <c r="D11" s="371" t="str">
        <f t="shared" ref="D11:D17" si="0">_xlfn.CONCAT($I$4,C11)</f>
        <v>FF1</v>
      </c>
      <c r="F11" s="398" t="str" cm="1">
        <f t="array" ref="F11">IFERROR(INDEX(M_COA[ACCOUNT],B11),0)</f>
        <v>2170 Income Tax Interim Payments</v>
      </c>
      <c r="G11" s="398" cm="1">
        <f t="array" ref="G11">IFERROR(INDEX(M_COA[CY],B11),0)</f>
        <v>0</v>
      </c>
      <c r="H11" s="398" cm="1">
        <f t="array" ref="H11">IFERROR(INDEX(M_COA[PY1],B11),0)</f>
        <v>0</v>
      </c>
    </row>
    <row r="12" spans="1:9">
      <c r="B12" s="410">
        <f>IFERROR(MATCH(D12,M_COA[LSheetID],0),"")</f>
        <v>45</v>
      </c>
      <c r="C12" s="371">
        <f t="shared" ref="C12:C17" si="1">C11+1</f>
        <v>2</v>
      </c>
      <c r="D12" s="371" t="str">
        <f t="shared" si="0"/>
        <v>FF2</v>
      </c>
      <c r="F12" s="398" t="str" cm="1">
        <f t="array" ref="F12">IFERROR(INDEX(M_COA[ACCOUNT],B12),0)</f>
        <v>2171 Corporate Income taxes payable</v>
      </c>
      <c r="G12" s="398" cm="1">
        <f t="array" ref="G12">IFERROR(INDEX(M_COA[CY],B12),0)</f>
        <v>18284.12</v>
      </c>
      <c r="H12" s="398" cm="1">
        <f t="array" ref="H12">IFERROR(INDEX(M_COA[PY1],B12),0)</f>
        <v>-23061.100000000199</v>
      </c>
    </row>
    <row r="13" spans="1:9">
      <c r="B13" s="410">
        <f>IFERROR(MATCH(D13,M_COA[LSheetID],0),"")</f>
        <v>46</v>
      </c>
      <c r="C13" s="371">
        <f t="shared" si="1"/>
        <v>3</v>
      </c>
      <c r="D13" s="371" t="str">
        <f t="shared" si="0"/>
        <v>FF3</v>
      </c>
      <c r="F13" s="398" t="str" cm="1">
        <f t="array" ref="F13">IFERROR(INDEX(M_COA[ACCOUNT],B13),0)</f>
        <v>3100 Deferred Income tax</v>
      </c>
      <c r="G13" s="398" cm="1">
        <f t="array" ref="G13">IFERROR(INDEX(M_COA[CY],B13),0)</f>
        <v>-22464</v>
      </c>
      <c r="H13" s="398" cm="1">
        <f t="array" ref="H13">IFERROR(INDEX(M_COA[PY1],B13),0)</f>
        <v>0</v>
      </c>
    </row>
    <row r="14" spans="1:9">
      <c r="B14" s="410" t="str">
        <f>IFERROR(MATCH(D14,M_COA[LSheetID],0),"")</f>
        <v/>
      </c>
      <c r="C14" s="371">
        <f t="shared" si="1"/>
        <v>4</v>
      </c>
      <c r="D14" s="371" t="str">
        <f t="shared" si="0"/>
        <v>FF4</v>
      </c>
      <c r="F14" s="398" cm="1">
        <f t="array" ref="F14">IFERROR(INDEX(M_COA[ACCOUNT],B14),0)</f>
        <v>0</v>
      </c>
      <c r="G14" s="398" cm="1">
        <f t="array" ref="G14">IFERROR(INDEX(M_COA[CY],B14),0)</f>
        <v>0</v>
      </c>
      <c r="H14" s="398" cm="1">
        <f t="array" ref="H14">IFERROR(INDEX(M_COA[PY1],B14),0)</f>
        <v>0</v>
      </c>
    </row>
    <row r="15" spans="1:9">
      <c r="B15" s="410" t="str">
        <f>IFERROR(MATCH(D15,M_COA[LSheetID],0),"")</f>
        <v/>
      </c>
      <c r="C15" s="371">
        <f t="shared" si="1"/>
        <v>5</v>
      </c>
      <c r="D15" s="371" t="str">
        <f t="shared" si="0"/>
        <v>FF5</v>
      </c>
      <c r="F15" s="398" cm="1">
        <f t="array" ref="F15">IFERROR(INDEX(M_COA[ACCOUNT],B15),0)</f>
        <v>0</v>
      </c>
      <c r="G15" s="398" cm="1">
        <f t="array" ref="G15">IFERROR(INDEX(M_COA[CY],B15),0)</f>
        <v>0</v>
      </c>
      <c r="H15" s="398" cm="1">
        <f t="array" ref="H15">IFERROR(INDEX(M_COA[PY1],B15),0)</f>
        <v>0</v>
      </c>
    </row>
    <row r="16" spans="1:9">
      <c r="B16" s="410" t="str">
        <f>IFERROR(MATCH(D16,M_COA[LSheetID],0),"")</f>
        <v/>
      </c>
      <c r="C16" s="371">
        <f t="shared" si="1"/>
        <v>6</v>
      </c>
      <c r="D16" s="371" t="str">
        <f t="shared" si="0"/>
        <v>FF6</v>
      </c>
      <c r="F16" s="398" cm="1">
        <f t="array" ref="F16">IFERROR(INDEX(M_COA[ACCOUNT],B16),0)</f>
        <v>0</v>
      </c>
      <c r="G16" s="398" cm="1">
        <f t="array" ref="G16">IFERROR(INDEX(M_COA[CY],B16),0)</f>
        <v>0</v>
      </c>
      <c r="H16" s="398" cm="1">
        <f t="array" ref="H16">IFERROR(INDEX(M_COA[PY1],B16),0)</f>
        <v>0</v>
      </c>
    </row>
    <row r="17" spans="2:10">
      <c r="B17" s="410" t="str">
        <f>IFERROR(MATCH(D17,M_COA[LSheetID],0),"")</f>
        <v/>
      </c>
      <c r="C17" s="371">
        <f t="shared" si="1"/>
        <v>7</v>
      </c>
      <c r="D17" s="371" t="str">
        <f t="shared" si="0"/>
        <v>FF7</v>
      </c>
      <c r="F17" s="398" cm="1">
        <f t="array" ref="F17">IFERROR(INDEX(M_COA[ACCOUNT],B17),0)</f>
        <v>0</v>
      </c>
      <c r="G17" s="417" cm="1">
        <f t="array" ref="G17">IFERROR(INDEX(M_COA[CY],B17),0)</f>
        <v>0</v>
      </c>
      <c r="H17" s="417" cm="1">
        <f t="array" ref="H17">IFERROR(INDEX(M_COA[PY1],B17),0)</f>
        <v>0</v>
      </c>
    </row>
    <row r="18" spans="2:10">
      <c r="B18" s="410" t="str">
        <f>IFERROR(MATCH(D18,M_COA[LSheetID],0),"")</f>
        <v/>
      </c>
      <c r="C18" s="371"/>
      <c r="D18" s="371"/>
      <c r="F18" s="398"/>
      <c r="G18" s="398"/>
      <c r="H18" s="398"/>
    </row>
    <row r="19" spans="2:10" ht="13.5" thickBot="1">
      <c r="B19" s="363"/>
      <c r="C19" s="371"/>
      <c r="D19" s="371"/>
      <c r="E19" s="371"/>
      <c r="F19" s="372"/>
      <c r="G19" s="411">
        <f>SUM(G11:G17)</f>
        <v>-4179.880000000001</v>
      </c>
      <c r="H19" s="411">
        <f>SUM(H11:H17)</f>
        <v>-23061.100000000199</v>
      </c>
    </row>
    <row r="20" spans="2:10" ht="13.5" thickTop="1">
      <c r="B20" s="363"/>
      <c r="C20" s="373"/>
      <c r="D20" s="373"/>
      <c r="E20" s="373"/>
      <c r="F20" s="373"/>
      <c r="G20" s="374"/>
      <c r="H20" s="374"/>
    </row>
    <row r="21" spans="2:10">
      <c r="E21" s="362" t="s">
        <v>0</v>
      </c>
    </row>
    <row r="24" spans="2:10">
      <c r="J24" s="418"/>
    </row>
    <row r="25" spans="2:10">
      <c r="J25" s="418"/>
    </row>
    <row r="26" spans="2:10">
      <c r="J26" s="418"/>
    </row>
    <row r="27" spans="2:10">
      <c r="G27" s="418"/>
      <c r="H27" s="418"/>
      <c r="I27" s="418"/>
      <c r="J27" s="418"/>
    </row>
  </sheetData>
  <mergeCells count="1">
    <mergeCell ref="B9:D9"/>
  </mergeCells>
  <hyperlinks>
    <hyperlink ref="A1" location="'TABLE OF CONTENTS'!A1" display="INDEX" xr:uid="{40B0B8C7-9FC7-4315-A7FF-78583DCBCEFE}"/>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C226A-5BA9-4F12-A393-BFC29C15E380}">
  <sheetPr codeName="Sheet22">
    <tabColor theme="5"/>
  </sheetPr>
  <dimension ref="A1:I21"/>
  <sheetViews>
    <sheetView workbookViewId="0"/>
  </sheetViews>
  <sheetFormatPr defaultColWidth="9.140625" defaultRowHeight="12.75"/>
  <cols>
    <col min="1" max="4" width="9.140625" style="362"/>
    <col min="5" max="5" width="5.140625" style="362" customWidth="1"/>
    <col min="6" max="6" width="27" style="362" customWidth="1"/>
    <col min="7" max="7" width="11.5703125" style="362" bestFit="1" customWidth="1"/>
    <col min="8" max="8" width="17" style="362" customWidth="1"/>
    <col min="9" max="16384" width="9.140625" style="362"/>
  </cols>
  <sheetData>
    <row r="1" spans="1:9">
      <c r="A1" s="59" t="s">
        <v>1650</v>
      </c>
      <c r="B1" s="363"/>
      <c r="C1" s="424" t="str">
        <f>F5</f>
        <v>DUE TO RELATED PARTIES</v>
      </c>
    </row>
    <row r="2" spans="1:9">
      <c r="A2" s="362" t="s">
        <v>507</v>
      </c>
      <c r="B2" s="363"/>
      <c r="C2" s="363"/>
      <c r="D2" s="363"/>
      <c r="E2" s="363"/>
      <c r="F2" s="363"/>
      <c r="G2" s="363"/>
      <c r="H2" s="363"/>
    </row>
    <row r="3" spans="1:9">
      <c r="B3" s="363" t="s">
        <v>0</v>
      </c>
      <c r="C3" s="363" t="s">
        <v>0</v>
      </c>
      <c r="D3" s="363"/>
      <c r="E3" s="363"/>
      <c r="F3" s="363"/>
      <c r="G3" s="363"/>
      <c r="H3" s="363"/>
    </row>
    <row r="4" spans="1:9" ht="15.75">
      <c r="B4" s="363"/>
      <c r="D4" s="402"/>
      <c r="E4" s="402"/>
      <c r="F4" s="403" t="str">
        <f>COA!B2</f>
        <v>ANONYMOUS COMPANY</v>
      </c>
      <c r="G4" s="403"/>
      <c r="H4" s="403"/>
      <c r="I4" s="401" t="s">
        <v>275</v>
      </c>
    </row>
    <row r="5" spans="1:9" ht="15.75">
      <c r="B5" s="363"/>
      <c r="D5" s="404"/>
      <c r="E5" s="405" t="s">
        <v>0</v>
      </c>
      <c r="F5" s="405" t="str">
        <f>UPPER(_xlfn.XLOOKUP(A2,COA!H1:H174,COA!I1:I174))</f>
        <v>DUE TO RELATED PARTIES</v>
      </c>
      <c r="G5" s="405"/>
      <c r="H5" s="405"/>
    </row>
    <row r="6" spans="1:9">
      <c r="B6" s="363"/>
      <c r="D6" s="406"/>
      <c r="E6" s="406"/>
      <c r="F6" s="407" t="str">
        <f>"FOR THE YEAR ENDED "&amp;UPPER(TEXT(COA!$B$4,"MMMM DD, YYYY"))</f>
        <v>FOR THE YEAR ENDED DECEMBER 31, 2025</v>
      </c>
      <c r="G6" s="407"/>
      <c r="H6" s="407"/>
    </row>
    <row r="7" spans="1:9">
      <c r="B7" s="363"/>
      <c r="C7" s="363"/>
      <c r="D7" s="363"/>
      <c r="E7" s="363"/>
      <c r="F7" s="363"/>
      <c r="G7" s="363"/>
      <c r="H7" s="363"/>
    </row>
    <row r="8" spans="1:9">
      <c r="B8" s="363"/>
      <c r="C8" s="364"/>
      <c r="D8" s="364"/>
      <c r="E8" s="365"/>
      <c r="F8" s="365"/>
      <c r="G8" s="364"/>
      <c r="H8" s="364"/>
    </row>
    <row r="9" spans="1:9" ht="13.5" thickBot="1">
      <c r="B9" s="1293" t="s">
        <v>357</v>
      </c>
      <c r="C9" s="1293"/>
      <c r="D9" s="1293"/>
      <c r="E9" s="366" t="s">
        <v>0</v>
      </c>
      <c r="F9" s="367" t="s">
        <v>356</v>
      </c>
      <c r="G9" s="368">
        <f>YEAR(COA!B4)</f>
        <v>2025</v>
      </c>
      <c r="H9" s="368">
        <f>G9-1</f>
        <v>2024</v>
      </c>
    </row>
    <row r="10" spans="1:9">
      <c r="B10" s="408" t="s">
        <v>358</v>
      </c>
      <c r="C10" s="409" t="s">
        <v>359</v>
      </c>
      <c r="D10" s="409" t="s">
        <v>360</v>
      </c>
      <c r="F10" s="369"/>
      <c r="G10" s="370"/>
      <c r="H10" s="370"/>
    </row>
    <row r="11" spans="1:9">
      <c r="B11" s="410">
        <f>IFERROR(MATCH(D11,M_COA[LSheetID],0),"")</f>
        <v>13</v>
      </c>
      <c r="C11" s="371">
        <f>1</f>
        <v>1</v>
      </c>
      <c r="D11" s="371" t="str">
        <f t="shared" ref="D11:D17" si="0">_xlfn.CONCAT($I$4,C11)</f>
        <v>GG1</v>
      </c>
      <c r="F11" s="398" t="str" cm="1">
        <f t="array" ref="F11">IFERROR(INDEX(M_COA[ACCOUNT],B11),0)</f>
        <v>1146 Acct Rec - Shareholder</v>
      </c>
      <c r="G11" s="398" cm="1">
        <f t="array" ref="G11">IFERROR(INDEX(M_COA[CY],B11),0)</f>
        <v>0</v>
      </c>
      <c r="H11" s="398" cm="1">
        <f t="array" ref="H11">IFERROR(INDEX(M_COA[PY1],B11),0)</f>
        <v>0</v>
      </c>
    </row>
    <row r="12" spans="1:9">
      <c r="B12" s="410">
        <f>IFERROR(MATCH(D12,M_COA[LSheetID],0),"")</f>
        <v>50</v>
      </c>
      <c r="C12" s="371">
        <f t="shared" ref="C12:C17" si="1">C11+1</f>
        <v>2</v>
      </c>
      <c r="D12" s="371" t="str">
        <f t="shared" si="0"/>
        <v>GG2</v>
      </c>
      <c r="F12" s="398" t="str" cm="1">
        <f t="array" ref="F12">IFERROR(INDEX(M_COA[ACCOUNT],B12),0)</f>
        <v>2214 Due to a Related Party</v>
      </c>
      <c r="G12" s="398" cm="1">
        <f t="array" ref="G12">IFERROR(INDEX(M_COA[CY],B12),0)</f>
        <v>318966.53999999998</v>
      </c>
      <c r="H12" s="398" cm="1">
        <f t="array" ref="H12">IFERROR(INDEX(M_COA[PY1],B12),0)</f>
        <v>95143.960000001098</v>
      </c>
    </row>
    <row r="13" spans="1:9">
      <c r="B13" s="410">
        <f>IFERROR(MATCH(D13,M_COA[LSheetID],0),"")</f>
        <v>51</v>
      </c>
      <c r="C13" s="371">
        <f t="shared" si="1"/>
        <v>3</v>
      </c>
      <c r="D13" s="371" t="str">
        <f t="shared" si="0"/>
        <v>GG3</v>
      </c>
      <c r="F13" s="398" t="str" cm="1">
        <f t="array" ref="F13">IFERROR(INDEX(M_COA[ACCOUNT],B13),0)</f>
        <v xml:space="preserve">2990 Due from a shareholder </v>
      </c>
      <c r="G13" s="398" cm="1">
        <f t="array" ref="G13">IFERROR(INDEX(M_COA[CY],B13),0)</f>
        <v>-164955.4</v>
      </c>
      <c r="H13" s="398" cm="1">
        <f t="array" ref="H13">IFERROR(INDEX(M_COA[PY1],B13),0)</f>
        <v>-289462.549999999</v>
      </c>
    </row>
    <row r="14" spans="1:9">
      <c r="B14" s="410">
        <f>IFERROR(MATCH(D14,M_COA[LSheetID],0),"")</f>
        <v>59</v>
      </c>
      <c r="C14" s="371">
        <f t="shared" si="1"/>
        <v>4</v>
      </c>
      <c r="D14" s="371" t="str">
        <f t="shared" si="0"/>
        <v>GG4</v>
      </c>
      <c r="F14" s="398" t="str" cm="1">
        <f t="array" ref="F14">IFERROR(INDEX(M_COA[ACCOUNT],B14),0)</f>
        <v>3200 ABC Company</v>
      </c>
      <c r="G14" s="398" cm="1">
        <f t="array" ref="G14">IFERROR(INDEX(M_COA[CY],B14),0)</f>
        <v>0</v>
      </c>
      <c r="H14" s="398" cm="1">
        <f t="array" ref="H14">IFERROR(INDEX(M_COA[PY1],B14),0)</f>
        <v>-63165.899999999499</v>
      </c>
    </row>
    <row r="15" spans="1:9">
      <c r="B15" s="410">
        <f>IFERROR(MATCH(D15,M_COA[LSheetID],0),"")</f>
        <v>60</v>
      </c>
      <c r="C15" s="371">
        <f t="shared" si="1"/>
        <v>5</v>
      </c>
      <c r="D15" s="371" t="str">
        <f t="shared" si="0"/>
        <v>GG5</v>
      </c>
      <c r="F15" s="398" t="str" cm="1">
        <f t="array" ref="F15">IFERROR(INDEX(M_COA[ACCOUNT],B15),0)</f>
        <v>3201 Family Investments Corp</v>
      </c>
      <c r="G15" s="398" cm="1">
        <f t="array" ref="G15">IFERROR(INDEX(M_COA[CY],B15),0)</f>
        <v>0</v>
      </c>
      <c r="H15" s="398" cm="1">
        <f t="array" ref="H15">IFERROR(INDEX(M_COA[PY1],B15),0)</f>
        <v>0</v>
      </c>
    </row>
    <row r="16" spans="1:9">
      <c r="B16" s="410">
        <f>IFERROR(MATCH(D16,M_COA[LSheetID],0),"")</f>
        <v>61</v>
      </c>
      <c r="C16" s="371">
        <f t="shared" si="1"/>
        <v>6</v>
      </c>
      <c r="D16" s="371" t="str">
        <f t="shared" si="0"/>
        <v>GG6</v>
      </c>
      <c r="F16" s="398" t="str" cm="1">
        <f t="array" ref="F16">IFERROR(INDEX(M_COA[ACCOUNT],B16),0)</f>
        <v>3210 Current obligations</v>
      </c>
      <c r="G16" s="398" cm="1">
        <f t="array" ref="G16">IFERROR(INDEX(M_COA[CY],B16),0)</f>
        <v>0</v>
      </c>
      <c r="H16" s="398" cm="1">
        <f t="array" ref="H16">IFERROR(INDEX(M_COA[PY1],B16),0)</f>
        <v>0</v>
      </c>
    </row>
    <row r="17" spans="2:8">
      <c r="B17" s="410" t="str">
        <f>IFERROR(MATCH(D17,M_COA[LSheetID],0),"")</f>
        <v/>
      </c>
      <c r="C17" s="371">
        <f t="shared" si="1"/>
        <v>7</v>
      </c>
      <c r="D17" s="371" t="str">
        <f t="shared" si="0"/>
        <v>GG7</v>
      </c>
      <c r="F17" s="398" cm="1">
        <f t="array" ref="F17">IFERROR(INDEX(M_COA[ACCOUNT],B17),0)</f>
        <v>0</v>
      </c>
      <c r="G17" s="417" cm="1">
        <f t="array" ref="G17">IFERROR(INDEX(M_COA[CY],B17),0)</f>
        <v>0</v>
      </c>
      <c r="H17" s="417" cm="1">
        <f t="array" ref="H17">IFERROR(INDEX(M_COA[PY1],B17),0)</f>
        <v>0</v>
      </c>
    </row>
    <row r="18" spans="2:8">
      <c r="B18" s="410" t="str">
        <f>IFERROR(MATCH(D18,M_COA[LSheetID],0),"")</f>
        <v/>
      </c>
      <c r="C18" s="371"/>
      <c r="D18" s="371"/>
      <c r="F18" s="398"/>
      <c r="G18" s="398"/>
      <c r="H18" s="398"/>
    </row>
    <row r="19" spans="2:8" ht="13.5" thickBot="1">
      <c r="B19" s="363"/>
      <c r="C19" s="371"/>
      <c r="D19" s="371"/>
      <c r="E19" s="371"/>
      <c r="F19" s="372"/>
      <c r="G19" s="411">
        <f>SUM(G11:G17)</f>
        <v>154011.13999999998</v>
      </c>
      <c r="H19" s="411">
        <f>SUM(H11:H17)</f>
        <v>-257484.4899999974</v>
      </c>
    </row>
    <row r="20" spans="2:8" ht="13.5" thickTop="1">
      <c r="B20" s="363"/>
      <c r="C20" s="373"/>
      <c r="D20" s="373"/>
      <c r="E20" s="373"/>
      <c r="F20" s="373"/>
      <c r="G20" s="374"/>
      <c r="H20" s="374"/>
    </row>
    <row r="21" spans="2:8">
      <c r="E21" s="362" t="s">
        <v>0</v>
      </c>
    </row>
  </sheetData>
  <mergeCells count="1">
    <mergeCell ref="B9:D9"/>
  </mergeCells>
  <hyperlinks>
    <hyperlink ref="A1" location="'TABLE OF CONTENTS'!A1" display="INDEX" xr:uid="{221068B1-2CBB-4FDC-8492-36EB14F85107}"/>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69BC3-E427-43E8-AE3E-16A82BB4A9D5}">
  <sheetPr codeName="Sheet24">
    <tabColor theme="5"/>
  </sheetPr>
  <dimension ref="A1:T39"/>
  <sheetViews>
    <sheetView workbookViewId="0"/>
  </sheetViews>
  <sheetFormatPr defaultColWidth="9.140625" defaultRowHeight="12.75"/>
  <cols>
    <col min="1" max="3" width="9.140625" style="362"/>
    <col min="4" max="4" width="9.140625" style="362" customWidth="1"/>
    <col min="5" max="5" width="3.7109375" style="362" customWidth="1"/>
    <col min="6" max="6" width="9.7109375" style="362" customWidth="1"/>
    <col min="7" max="7" width="8.85546875" style="362" customWidth="1"/>
    <col min="8" max="8" width="10" style="362" customWidth="1"/>
    <col min="9" max="9" width="10.28515625" style="362" customWidth="1"/>
    <col min="10" max="10" width="10.28515625" style="362" bestFit="1" customWidth="1"/>
    <col min="11" max="11" width="12.85546875" style="362" bestFit="1" customWidth="1"/>
    <col min="12" max="13" width="11.28515625" style="362" bestFit="1" customWidth="1"/>
    <col min="14" max="14" width="30.42578125" style="362" bestFit="1" customWidth="1"/>
    <col min="15" max="15" width="15.140625" style="362" customWidth="1"/>
    <col min="16" max="16" width="15.85546875" style="362" customWidth="1"/>
    <col min="17" max="18" width="9.140625" style="362"/>
    <col min="19" max="19" width="11.28515625" style="362" bestFit="1" customWidth="1"/>
    <col min="20" max="16384" width="9.140625" style="362"/>
  </cols>
  <sheetData>
    <row r="1" spans="1:20">
      <c r="A1" s="59" t="s">
        <v>1650</v>
      </c>
      <c r="B1" s="363"/>
      <c r="C1" s="363" t="s">
        <v>498</v>
      </c>
    </row>
    <row r="2" spans="1:20">
      <c r="A2" s="362">
        <v>41</v>
      </c>
      <c r="B2" s="363"/>
      <c r="C2" s="363"/>
      <c r="D2" s="363"/>
      <c r="E2" s="363"/>
      <c r="F2" s="363"/>
      <c r="G2" s="363"/>
      <c r="H2" s="363"/>
      <c r="I2" s="363"/>
    </row>
    <row r="3" spans="1:20">
      <c r="B3" s="363"/>
      <c r="C3" s="363"/>
      <c r="D3" s="363"/>
      <c r="E3" s="363"/>
      <c r="F3" s="363"/>
      <c r="G3" s="363"/>
      <c r="H3" s="363"/>
      <c r="I3" s="363"/>
    </row>
    <row r="4" spans="1:20" ht="15.75">
      <c r="B4" s="363"/>
      <c r="D4" s="402"/>
      <c r="E4" s="402"/>
      <c r="F4" s="403" t="str">
        <f>COA!B2</f>
        <v>ANONYMOUS COMPANY</v>
      </c>
      <c r="G4" s="403"/>
      <c r="H4" s="403"/>
      <c r="I4" s="403"/>
      <c r="P4" s="401" t="s">
        <v>276</v>
      </c>
    </row>
    <row r="5" spans="1:20" ht="15.75">
      <c r="B5" s="363" t="s">
        <v>0</v>
      </c>
      <c r="D5" s="404"/>
      <c r="E5" s="404"/>
      <c r="F5" s="405" t="e">
        <f>UPPER(_xlfn.XLOOKUP(A2,COA!A1:A175,COA!I1:I174))</f>
        <v>#VALUE!</v>
      </c>
      <c r="G5" s="517"/>
      <c r="H5" s="517"/>
      <c r="I5" s="405"/>
    </row>
    <row r="6" spans="1:20">
      <c r="B6" s="363"/>
      <c r="D6" s="406"/>
      <c r="E6" s="406"/>
      <c r="F6" s="407" t="str">
        <f>"FOR THE YEAR ENDED "&amp;UPPER(TEXT(COA!$B$4,"MMMM DD, YYYY"))</f>
        <v>FOR THE YEAR ENDED DECEMBER 31, 2025</v>
      </c>
      <c r="G6" s="407"/>
      <c r="H6" s="407"/>
      <c r="I6" s="407"/>
    </row>
    <row r="7" spans="1:20">
      <c r="B7" s="363"/>
      <c r="C7" s="363"/>
      <c r="D7" s="363"/>
      <c r="E7" s="363"/>
      <c r="F7" s="363"/>
      <c r="G7" s="363"/>
      <c r="H7" s="363"/>
      <c r="I7" s="363"/>
    </row>
    <row r="8" spans="1:20">
      <c r="B8" s="363"/>
      <c r="C8" s="364"/>
      <c r="D8" s="364"/>
      <c r="E8" s="365"/>
      <c r="F8" s="365"/>
      <c r="G8" s="365"/>
      <c r="H8" s="365"/>
      <c r="I8" s="364"/>
    </row>
    <row r="9" spans="1:20" ht="26.25" thickBot="1">
      <c r="B9" s="1293" t="s">
        <v>357</v>
      </c>
      <c r="C9" s="1293"/>
      <c r="D9" s="1293"/>
      <c r="E9" s="366" t="s">
        <v>0</v>
      </c>
      <c r="F9" s="570" t="s">
        <v>1092</v>
      </c>
      <c r="G9" s="570" t="s">
        <v>1093</v>
      </c>
      <c r="H9" s="679" t="s">
        <v>1095</v>
      </c>
      <c r="I9" s="679" t="s">
        <v>1096</v>
      </c>
      <c r="J9" s="679" t="s">
        <v>1097</v>
      </c>
      <c r="K9" s="680" t="s">
        <v>342</v>
      </c>
      <c r="L9" s="680" t="s">
        <v>1094</v>
      </c>
      <c r="M9" s="679" t="s">
        <v>1098</v>
      </c>
      <c r="N9" s="570" t="s">
        <v>356</v>
      </c>
      <c r="O9" s="573">
        <f>YEAR(COA!B4)</f>
        <v>2025</v>
      </c>
      <c r="P9" s="573">
        <f>O9-1</f>
        <v>2024</v>
      </c>
    </row>
    <row r="10" spans="1:20" ht="13.5" thickTop="1">
      <c r="B10" s="408" t="s">
        <v>358</v>
      </c>
      <c r="C10" s="409" t="s">
        <v>359</v>
      </c>
      <c r="D10" s="409" t="s">
        <v>360</v>
      </c>
      <c r="N10" s="369"/>
      <c r="O10" s="370"/>
      <c r="P10" s="370"/>
    </row>
    <row r="11" spans="1:20">
      <c r="B11" s="410">
        <f>IFERROR(MATCH(D11,M_COA[LSheetID],0),"")</f>
        <v>52</v>
      </c>
      <c r="C11" s="371">
        <f>1</f>
        <v>1</v>
      </c>
      <c r="D11" s="371" t="str">
        <f t="shared" ref="D11:D16" si="0">_xlfn.CONCAT($P$4,C11)</f>
        <v>KK1</v>
      </c>
      <c r="N11" s="398" t="str" cm="1">
        <f t="array" ref="N11">IFERROR(INDEX(M_COA[ACCOUNT],B11),0)</f>
        <v>2998 Current principal payments</v>
      </c>
      <c r="O11" s="398" cm="1">
        <f t="array" ref="O11">IFERROR(INDEX(M_COA[CY],B11),0)</f>
        <v>-110400</v>
      </c>
      <c r="P11" s="398" cm="1">
        <f t="array" ref="P11">IFERROR(INDEX(M_COA[PY1],B11),0)</f>
        <v>0</v>
      </c>
    </row>
    <row r="12" spans="1:20">
      <c r="B12" s="410">
        <f>IFERROR(MATCH(D12,M_COA[LSheetID],0),"")</f>
        <v>54</v>
      </c>
      <c r="C12" s="371">
        <f t="shared" ref="C12:C16" si="1">C11+1</f>
        <v>2</v>
      </c>
      <c r="D12" s="371" t="str">
        <f t="shared" si="0"/>
        <v>KK2</v>
      </c>
      <c r="N12" s="398" t="str" cm="1">
        <f t="array" ref="N12">IFERROR(INDEX(M_COA[ACCOUNT],B12),0)</f>
        <v>3110 Conditional Sales Contract</v>
      </c>
      <c r="O12" s="398" cm="1">
        <f t="array" ref="O12">IFERROR(INDEX(M_COA[CY],B12),0)</f>
        <v>0</v>
      </c>
      <c r="P12" s="398" cm="1">
        <f t="array" ref="P12">IFERROR(INDEX(M_COA[PY1],B12),0)</f>
        <v>0</v>
      </c>
    </row>
    <row r="13" spans="1:20" ht="38.25">
      <c r="B13" s="410">
        <f>IFERROR(MATCH(D13,M_COA[LSheetID],0),"")</f>
        <v>55</v>
      </c>
      <c r="C13" s="371">
        <f t="shared" si="1"/>
        <v>3</v>
      </c>
      <c r="D13" s="371" t="str">
        <f t="shared" si="0"/>
        <v>KK3</v>
      </c>
      <c r="F13" s="362" t="s">
        <v>1418</v>
      </c>
      <c r="G13" s="742" t="s">
        <v>1419</v>
      </c>
      <c r="H13" s="678" t="s">
        <v>1420</v>
      </c>
      <c r="I13" s="362" t="s">
        <v>1099</v>
      </c>
      <c r="J13" s="681">
        <v>9200</v>
      </c>
      <c r="K13" s="362" t="s">
        <v>1421</v>
      </c>
      <c r="L13" s="681">
        <v>815000</v>
      </c>
      <c r="M13" s="681">
        <f>9200*12</f>
        <v>110400</v>
      </c>
      <c r="N13" s="398" t="str" cm="1">
        <f t="array" ref="N13">IFERROR(INDEX(M_COA[ACCOUNT],B13),0)</f>
        <v>3120 Bank term loan</v>
      </c>
      <c r="O13" s="398" cm="1">
        <f t="array" ref="O13">IFERROR(INDEX(M_COA[CY],B13),0)</f>
        <v>-394110.85</v>
      </c>
      <c r="P13" s="398" cm="1">
        <f t="array" ref="P13">IFERROR(INDEX(M_COA[PY1],B13),0)</f>
        <v>-503562.53000000102</v>
      </c>
      <c r="S13" s="736">
        <f>P13-O13</f>
        <v>-109451.68000000104</v>
      </c>
      <c r="T13" s="362">
        <f>S13/12</f>
        <v>-9120.9733333334207</v>
      </c>
    </row>
    <row r="14" spans="1:20">
      <c r="B14" s="410">
        <f>IFERROR(MATCH(D14,M_COA[LSheetID],0),"")</f>
        <v>56</v>
      </c>
      <c r="C14" s="371">
        <f t="shared" si="1"/>
        <v>4</v>
      </c>
      <c r="D14" s="371" t="str">
        <f t="shared" si="0"/>
        <v>KK4</v>
      </c>
      <c r="G14" s="677"/>
      <c r="K14" s="678"/>
      <c r="L14" s="681"/>
      <c r="M14" s="681"/>
      <c r="N14" s="398" t="str" cm="1">
        <f t="array" ref="N14">IFERROR(INDEX(M_COA[ACCOUNT],B14),0)</f>
        <v>3145 Mortgage payable</v>
      </c>
      <c r="O14" s="398" cm="1">
        <f t="array" ref="O14">IFERROR(INDEX(M_COA[CY],B14),0)</f>
        <v>0</v>
      </c>
      <c r="P14" s="398" cm="1">
        <f t="array" ref="P14">IFERROR(INDEX(M_COA[PY1],B14),0)</f>
        <v>0</v>
      </c>
    </row>
    <row r="15" spans="1:20">
      <c r="B15" s="410">
        <f>IFERROR(MATCH(D15,M_COA[LSheetID],0),"")</f>
        <v>57</v>
      </c>
      <c r="C15" s="371">
        <f t="shared" si="1"/>
        <v>5</v>
      </c>
      <c r="D15" s="371" t="str">
        <f t="shared" si="0"/>
        <v>KK5</v>
      </c>
      <c r="N15" s="398" t="str" cm="1">
        <f t="array" ref="N15">IFERROR(INDEX(M_COA[ACCOUNT],B15),0)</f>
        <v>3150 Principal due within 1 year-LTD</v>
      </c>
      <c r="O15" s="398" cm="1">
        <f t="array" ref="O15">IFERROR(INDEX(M_COA[CY],B15),0)</f>
        <v>110400</v>
      </c>
      <c r="P15" s="398" cm="1">
        <f t="array" ref="P15">IFERROR(INDEX(M_COA[PY1],B15),0)</f>
        <v>0</v>
      </c>
    </row>
    <row r="16" spans="1:20">
      <c r="B16" s="410" t="str">
        <f>IFERROR(MATCH(D16,M_COA[LSheetID],0),"")</f>
        <v/>
      </c>
      <c r="C16" s="371">
        <f t="shared" si="1"/>
        <v>6</v>
      </c>
      <c r="D16" s="371" t="str">
        <f t="shared" si="0"/>
        <v>KK6</v>
      </c>
      <c r="N16" s="398" cm="1">
        <f t="array" ref="N16">IFERROR(INDEX(M_COA[ACCOUNT],B16),0)</f>
        <v>0</v>
      </c>
      <c r="O16" s="398" cm="1">
        <f t="array" ref="O16">IFERROR(INDEX(M_COA[CY],B16),0)</f>
        <v>0</v>
      </c>
      <c r="P16" s="398" cm="1">
        <f t="array" ref="P16">IFERROR(INDEX(M_COA[PY1],B16),0)</f>
        <v>0</v>
      </c>
    </row>
    <row r="17" spans="2:16">
      <c r="B17" s="410" t="str">
        <f>IFERROR(MATCH(D17,M_COA[LSheetID],0),"")</f>
        <v/>
      </c>
      <c r="C17" s="371"/>
      <c r="D17" s="371"/>
      <c r="N17" s="398"/>
      <c r="O17" s="398"/>
      <c r="P17" s="398"/>
    </row>
    <row r="18" spans="2:16" ht="17.45" customHeight="1" thickBot="1">
      <c r="B18" s="363"/>
      <c r="C18" s="371"/>
      <c r="D18" s="371"/>
      <c r="E18" s="371"/>
      <c r="M18" s="686">
        <f>SUM(M13:M17)</f>
        <v>110400</v>
      </c>
      <c r="N18" s="372"/>
      <c r="O18" s="687">
        <f>SUM(O11:O14)</f>
        <v>-504510.85</v>
      </c>
      <c r="P18" s="687">
        <f>SUM(P11:P14)</f>
        <v>-503562.53000000102</v>
      </c>
    </row>
    <row r="19" spans="2:16" ht="13.5" thickTop="1">
      <c r="B19" s="363"/>
      <c r="C19" s="371"/>
      <c r="D19" s="371"/>
      <c r="E19" s="371"/>
      <c r="F19" s="372"/>
      <c r="G19" s="372"/>
      <c r="H19" s="372"/>
      <c r="I19" s="413"/>
    </row>
    <row r="20" spans="2:16" ht="23.25" customHeight="1">
      <c r="B20" s="363"/>
      <c r="C20" s="371"/>
      <c r="D20" s="371"/>
      <c r="E20" s="371"/>
      <c r="F20" s="372" t="s">
        <v>1100</v>
      </c>
      <c r="G20" s="372"/>
      <c r="H20" s="372"/>
      <c r="I20" s="413"/>
    </row>
    <row r="21" spans="2:16" ht="13.5" thickBot="1">
      <c r="I21" s="682" t="s">
        <v>1101</v>
      </c>
      <c r="J21" s="682" t="s">
        <v>1102</v>
      </c>
      <c r="K21" s="682" t="s">
        <v>1103</v>
      </c>
      <c r="L21" s="682" t="s">
        <v>1104</v>
      </c>
      <c r="M21" s="682" t="s">
        <v>1105</v>
      </c>
      <c r="N21" s="684" t="s">
        <v>1101</v>
      </c>
      <c r="O21" s="569">
        <v>110400</v>
      </c>
    </row>
    <row r="22" spans="2:16">
      <c r="I22" s="683"/>
      <c r="J22" s="683"/>
      <c r="K22" s="683"/>
      <c r="L22" s="683"/>
      <c r="M22" s="683"/>
      <c r="N22" s="684" t="s">
        <v>1102</v>
      </c>
      <c r="O22" s="569">
        <v>110400</v>
      </c>
    </row>
    <row r="23" spans="2:16">
      <c r="F23" s="398" t="s">
        <v>1106</v>
      </c>
      <c r="I23" s="681">
        <v>0</v>
      </c>
      <c r="J23" s="681">
        <v>0</v>
      </c>
      <c r="K23" s="681">
        <v>0</v>
      </c>
      <c r="L23" s="681"/>
      <c r="M23" s="681"/>
      <c r="N23" s="684" t="s">
        <v>1103</v>
      </c>
      <c r="O23" s="569">
        <v>110400</v>
      </c>
    </row>
    <row r="24" spans="2:16">
      <c r="E24" s="362" t="s">
        <v>0</v>
      </c>
      <c r="F24" s="362" t="s">
        <v>523</v>
      </c>
      <c r="I24" s="681">
        <v>0</v>
      </c>
      <c r="J24" s="681">
        <v>0</v>
      </c>
      <c r="K24" s="681">
        <v>0</v>
      </c>
      <c r="L24" s="681">
        <v>0</v>
      </c>
      <c r="M24" s="681">
        <v>0</v>
      </c>
      <c r="N24" s="684" t="s">
        <v>1104</v>
      </c>
      <c r="O24" s="569">
        <v>62910.85</v>
      </c>
    </row>
    <row r="25" spans="2:16">
      <c r="F25" s="362" t="s">
        <v>524</v>
      </c>
      <c r="I25" s="681">
        <v>7635</v>
      </c>
      <c r="J25" s="681">
        <f>I25*1.069</f>
        <v>8161.8149999999996</v>
      </c>
      <c r="K25" s="681">
        <f>J25*1.069</f>
        <v>8724.9802349999991</v>
      </c>
      <c r="L25" s="681">
        <f>K25*1.069</f>
        <v>9327.0038712149981</v>
      </c>
      <c r="M25" s="681">
        <f>L25*1.0669</f>
        <v>9950.9804301992808</v>
      </c>
      <c r="N25" s="684" t="s">
        <v>1105</v>
      </c>
      <c r="O25" s="569">
        <v>0</v>
      </c>
    </row>
    <row r="26" spans="2:16">
      <c r="I26" s="681"/>
      <c r="J26" s="681"/>
      <c r="K26" s="681"/>
      <c r="L26" s="681"/>
      <c r="M26" s="681"/>
    </row>
    <row r="27" spans="2:16" ht="17.45" customHeight="1" thickBot="1">
      <c r="I27" s="685">
        <f>SUM(I23:I26)</f>
        <v>7635</v>
      </c>
      <c r="J27" s="685">
        <f t="shared" ref="J27:M27" si="2">SUM(J23:J26)</f>
        <v>8161.8149999999996</v>
      </c>
      <c r="K27" s="685">
        <f t="shared" si="2"/>
        <v>8724.9802349999991</v>
      </c>
      <c r="L27" s="685">
        <f t="shared" si="2"/>
        <v>9327.0038712149981</v>
      </c>
      <c r="M27" s="685">
        <f t="shared" si="2"/>
        <v>9950.9804301992808</v>
      </c>
      <c r="O27" s="569">
        <f>SUM(O21:O26)</f>
        <v>394110.85</v>
      </c>
    </row>
    <row r="28" spans="2:16" ht="13.5" thickTop="1">
      <c r="I28" s="681"/>
      <c r="J28" s="681"/>
      <c r="K28" s="681"/>
      <c r="L28" s="681"/>
      <c r="M28" s="681"/>
    </row>
    <row r="29" spans="2:16">
      <c r="I29" s="681"/>
      <c r="J29" s="681"/>
      <c r="K29" s="681"/>
      <c r="L29" s="681"/>
      <c r="M29" s="681"/>
    </row>
    <row r="30" spans="2:16">
      <c r="F30" s="718" t="s">
        <v>1107</v>
      </c>
      <c r="I30" s="681"/>
      <c r="J30" s="681"/>
      <c r="K30" s="681"/>
      <c r="L30" s="681"/>
      <c r="M30" s="681"/>
    </row>
    <row r="32" spans="2:16">
      <c r="F32" s="362" t="s">
        <v>0</v>
      </c>
    </row>
    <row r="34" spans="6:16" ht="31.5" customHeight="1">
      <c r="F34" s="1312" t="s">
        <v>1475</v>
      </c>
      <c r="G34" s="1312"/>
      <c r="H34" s="1312"/>
      <c r="I34" s="1312"/>
      <c r="J34" s="1312"/>
      <c r="K34" s="1312"/>
      <c r="L34" s="1312"/>
      <c r="M34" s="1312"/>
      <c r="N34" s="1312"/>
      <c r="O34" s="1312"/>
    </row>
    <row r="38" spans="6:16" ht="13.5" thickBot="1">
      <c r="F38" s="577"/>
      <c r="G38" s="577"/>
      <c r="H38" s="577"/>
      <c r="I38" s="577"/>
      <c r="J38" s="577"/>
      <c r="K38" s="577"/>
      <c r="L38" s="577"/>
      <c r="M38" s="577"/>
      <c r="N38" s="577"/>
      <c r="O38" s="577"/>
      <c r="P38" s="577"/>
    </row>
    <row r="39" spans="6:16" ht="13.5" thickTop="1"/>
  </sheetData>
  <mergeCells count="2">
    <mergeCell ref="B9:D9"/>
    <mergeCell ref="F34:O34"/>
  </mergeCells>
  <hyperlinks>
    <hyperlink ref="A1" location="'TABLE OF CONTENTS'!A1" display="INDEX" xr:uid="{8DF5A6FF-7235-413F-95F3-9F55C3414632}"/>
  </hyperlinks>
  <pageMargins left="0.7" right="0.7" top="0.75" bottom="0.75" header="0.3" footer="0.3"/>
  <pageSetup orientation="portrait" horizontalDpi="0" verticalDpi="0"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E3D66-2B18-4D2E-9127-9CE544C8ED8C}">
  <sheetPr codeName="Sheet25">
    <tabColor theme="5"/>
  </sheetPr>
  <dimension ref="A1:I24"/>
  <sheetViews>
    <sheetView workbookViewId="0">
      <selection activeCell="K16" sqref="K16:K17"/>
    </sheetView>
  </sheetViews>
  <sheetFormatPr defaultColWidth="9.140625" defaultRowHeight="12.75"/>
  <cols>
    <col min="1" max="3" width="9.140625" style="362"/>
    <col min="4" max="4" width="9.140625" style="362" customWidth="1"/>
    <col min="5" max="5" width="3.7109375" style="362" customWidth="1"/>
    <col min="6" max="6" width="34.7109375" style="362" customWidth="1"/>
    <col min="7" max="7" width="11.5703125" style="362" bestFit="1" customWidth="1"/>
    <col min="8" max="8" width="14.5703125" style="362" customWidth="1"/>
    <col min="9" max="16384" width="9.140625" style="362"/>
  </cols>
  <sheetData>
    <row r="1" spans="1:9" ht="15.75">
      <c r="A1" s="59" t="s">
        <v>1650</v>
      </c>
      <c r="B1" s="363"/>
      <c r="C1" s="674" t="s">
        <v>499</v>
      </c>
    </row>
    <row r="2" spans="1:9">
      <c r="A2" s="362">
        <v>50</v>
      </c>
      <c r="B2" s="363"/>
      <c r="C2" s="363"/>
      <c r="D2" s="363"/>
      <c r="E2" s="363"/>
      <c r="F2" s="363"/>
      <c r="G2" s="363"/>
      <c r="H2" s="363"/>
    </row>
    <row r="3" spans="1:9">
      <c r="B3" s="363"/>
      <c r="C3" s="363"/>
      <c r="D3" s="363"/>
      <c r="E3" s="363"/>
      <c r="F3" s="363"/>
      <c r="G3" s="363"/>
      <c r="H3" s="363"/>
    </row>
    <row r="4" spans="1:9" ht="15.75">
      <c r="B4" s="363"/>
      <c r="D4" s="402"/>
      <c r="E4" s="402"/>
      <c r="F4" s="403" t="str">
        <f>COA!B2</f>
        <v>ANONYMOUS COMPANY</v>
      </c>
      <c r="G4" s="403"/>
      <c r="H4" s="403"/>
      <c r="I4" s="401" t="s">
        <v>277</v>
      </c>
    </row>
    <row r="5" spans="1:9" ht="15.75">
      <c r="B5" s="363" t="s">
        <v>0</v>
      </c>
      <c r="D5" s="404"/>
      <c r="E5" s="404"/>
      <c r="F5" s="405" t="e">
        <f>UPPER(_xlfn.XLOOKUP(A2,COA!A1:A175,COA!I1:I174))</f>
        <v>#VALUE!</v>
      </c>
      <c r="G5" s="405"/>
      <c r="H5" s="405"/>
    </row>
    <row r="6" spans="1:9">
      <c r="B6" s="363"/>
      <c r="D6" s="406"/>
      <c r="E6" s="406"/>
      <c r="F6" s="407" t="str">
        <f>"FOR THE YEAR ENDED "&amp;UPPER(TEXT(COA!$B$4,"MMMM DD, YYYY"))</f>
        <v>FOR THE YEAR ENDED DECEMBER 31, 2025</v>
      </c>
      <c r="G6" s="407"/>
      <c r="H6" s="407"/>
    </row>
    <row r="7" spans="1:9">
      <c r="B7" s="363"/>
      <c r="C7" s="363"/>
      <c r="D7" s="363"/>
      <c r="E7" s="363"/>
      <c r="F7" s="363"/>
      <c r="G7" s="363"/>
      <c r="H7" s="363"/>
    </row>
    <row r="8" spans="1:9">
      <c r="B8" s="363"/>
      <c r="C8" s="364"/>
      <c r="D8" s="364"/>
      <c r="E8" s="365"/>
      <c r="F8" s="365"/>
      <c r="G8" s="364"/>
      <c r="H8" s="364"/>
    </row>
    <row r="9" spans="1:9" ht="13.5" thickBot="1">
      <c r="B9" s="1293" t="s">
        <v>357</v>
      </c>
      <c r="C9" s="1293"/>
      <c r="D9" s="1293"/>
      <c r="E9" s="366" t="s">
        <v>0</v>
      </c>
      <c r="F9" s="367" t="s">
        <v>356</v>
      </c>
      <c r="G9" s="368">
        <f>YEAR(COA!B4)</f>
        <v>2025</v>
      </c>
      <c r="H9" s="368">
        <f>G9-1</f>
        <v>2024</v>
      </c>
    </row>
    <row r="10" spans="1:9">
      <c r="B10" s="408" t="s">
        <v>358</v>
      </c>
      <c r="C10" s="409" t="s">
        <v>359</v>
      </c>
      <c r="D10" s="409" t="s">
        <v>360</v>
      </c>
      <c r="F10" s="369"/>
      <c r="G10" s="370"/>
      <c r="H10" s="370"/>
    </row>
    <row r="11" spans="1:9">
      <c r="B11" s="406"/>
      <c r="C11" s="550"/>
      <c r="D11" s="371"/>
      <c r="F11" s="398"/>
      <c r="G11" s="370"/>
      <c r="H11" s="370"/>
    </row>
    <row r="12" spans="1:9">
      <c r="B12" s="410">
        <v>63</v>
      </c>
      <c r="C12" s="371">
        <f>1</f>
        <v>1</v>
      </c>
      <c r="D12" s="371" t="str">
        <f t="shared" ref="D12:D17" si="0">_xlfn.CONCAT($I$4,C12)</f>
        <v>UU1</v>
      </c>
      <c r="F12" s="398" t="str" cm="1">
        <f t="array" ref="F12">IFERROR(INDEX(M_COA[ACCOUNT],B12),0)</f>
        <v>3400 Capital Stock</v>
      </c>
      <c r="G12" s="398" cm="1">
        <f t="array" ref="G12">IFERROR(INDEX(M_COA[CY],B12),0)</f>
        <v>-105</v>
      </c>
      <c r="H12" s="398" cm="1">
        <f t="array" ref="H12">IFERROR(INDEX(M_COA[PY1],B12),0)</f>
        <v>-106</v>
      </c>
    </row>
    <row r="13" spans="1:9">
      <c r="B13" s="410">
        <f>IFERROR(MATCH(D13,M_COA[LSheetID],0),"")</f>
        <v>64</v>
      </c>
      <c r="C13" s="371">
        <f t="shared" ref="C13:C17" si="1">C12+1</f>
        <v>2</v>
      </c>
      <c r="D13" s="371" t="str">
        <f t="shared" si="0"/>
        <v>UU2</v>
      </c>
      <c r="F13" s="398" t="str" cm="1">
        <f t="array" ref="F13">IFERROR(INDEX(M_COA[ACCOUNT],B13),0)</f>
        <v>3410 Preferred shares</v>
      </c>
      <c r="G13" s="398" cm="1">
        <f t="array" ref="G13">IFERROR(INDEX(M_COA[CY],B13),0)</f>
        <v>0</v>
      </c>
      <c r="H13" s="398" cm="1">
        <f t="array" ref="H13">IFERROR(INDEX(M_COA[PY1],B13),0)</f>
        <v>0</v>
      </c>
    </row>
    <row r="14" spans="1:9">
      <c r="B14" s="410">
        <f>IFERROR(MATCH(D14,M_COA[LSheetID],0),"")</f>
        <v>65</v>
      </c>
      <c r="C14" s="371">
        <f t="shared" si="1"/>
        <v>3</v>
      </c>
      <c r="D14" s="371" t="str">
        <f t="shared" si="0"/>
        <v>UU3</v>
      </c>
      <c r="F14" s="398" t="str" cm="1">
        <f t="array" ref="F14">IFERROR(INDEX(M_COA[ACCOUNT],B14),0)</f>
        <v>3500 Retained Earnings</v>
      </c>
      <c r="G14" s="398" cm="1">
        <f t="array" ref="G14">IFERROR(INDEX(M_COA[CY],B14),0)</f>
        <v>-628827.28</v>
      </c>
      <c r="H14" s="398" cm="1">
        <f t="array" ref="H14">IFERROR(INDEX(M_COA[PY1],B14),0)</f>
        <v>-594646.96000000183</v>
      </c>
    </row>
    <row r="15" spans="1:9">
      <c r="B15" s="410">
        <f>IFERROR(MATCH(D15,M_COA[LSheetID],0),"")</f>
        <v>66</v>
      </c>
      <c r="C15" s="371">
        <f t="shared" si="1"/>
        <v>4</v>
      </c>
      <c r="D15" s="371" t="str">
        <f t="shared" si="0"/>
        <v>UU4</v>
      </c>
      <c r="F15" s="398" t="str" cm="1">
        <f t="array" ref="F15">IFERROR(INDEX(M_COA[ACCOUNT],B15),0)</f>
        <v>3190 Dividends</v>
      </c>
      <c r="G15" s="398" cm="1">
        <f t="array" ref="G15">IFERROR(INDEX(M_COA[CY],B15),0)</f>
        <v>182989</v>
      </c>
      <c r="H15" s="398" cm="1">
        <f t="array" ref="H15">IFERROR(INDEX(M_COA[PY1],B15),0)</f>
        <v>0</v>
      </c>
    </row>
    <row r="16" spans="1:9">
      <c r="B16" s="410" t="str">
        <f>IFERROR(MATCH(D16,M_COA[LSheetID],0),"")</f>
        <v/>
      </c>
      <c r="C16" s="371">
        <f t="shared" si="1"/>
        <v>5</v>
      </c>
      <c r="D16" s="371" t="str">
        <f t="shared" si="0"/>
        <v>UU5</v>
      </c>
      <c r="F16" s="398" cm="1">
        <f t="array" ref="F16">IFERROR(INDEX(M_COA[ACCOUNT],B16),0)</f>
        <v>0</v>
      </c>
      <c r="G16" s="398" cm="1">
        <f t="array" ref="G16">IFERROR(INDEX(M_COA[CY],B16),0)</f>
        <v>0</v>
      </c>
      <c r="H16" s="398" cm="1">
        <f t="array" ref="H16">IFERROR(INDEX(M_COA[PY1],B16),0)</f>
        <v>0</v>
      </c>
    </row>
    <row r="17" spans="2:8">
      <c r="B17" s="410" t="str">
        <f>IFERROR(MATCH(D17,M_COA[LSheetID],0),"")</f>
        <v/>
      </c>
      <c r="C17" s="371">
        <f t="shared" si="1"/>
        <v>6</v>
      </c>
      <c r="D17" s="371" t="str">
        <f t="shared" si="0"/>
        <v>UU6</v>
      </c>
      <c r="F17" s="398" cm="1">
        <f t="array" ref="F17">IFERROR(INDEX(M_COA[ACCOUNT],B17),0)</f>
        <v>0</v>
      </c>
      <c r="G17" s="417" cm="1">
        <f t="array" ref="G17">IFERROR(INDEX(M_COA[CY],B17),0)</f>
        <v>0</v>
      </c>
      <c r="H17" s="417" cm="1">
        <f t="array" ref="H17">IFERROR(INDEX(M_COA[PY1],B17),0)</f>
        <v>0</v>
      </c>
    </row>
    <row r="18" spans="2:8">
      <c r="B18" s="410" t="str">
        <f>IFERROR(MATCH(D18,M_COA[LSheetID],0),"")</f>
        <v/>
      </c>
      <c r="C18" s="371"/>
      <c r="D18" s="371"/>
      <c r="F18" s="398"/>
      <c r="G18" s="398"/>
      <c r="H18" s="398"/>
    </row>
    <row r="19" spans="2:8" ht="13.5" thickBot="1">
      <c r="B19" s="363"/>
      <c r="C19" s="371"/>
      <c r="D19" s="371"/>
      <c r="E19" s="371"/>
      <c r="F19" s="372"/>
      <c r="G19" s="411">
        <f>SUM(G12:G15)</f>
        <v>-445943.28</v>
      </c>
      <c r="H19" s="411">
        <f>SUM(H12:H15)</f>
        <v>-594752.96000000183</v>
      </c>
    </row>
    <row r="20" spans="2:8" ht="13.5" thickTop="1">
      <c r="B20" s="363"/>
      <c r="C20" s="371"/>
      <c r="D20" s="371"/>
      <c r="E20" s="371"/>
      <c r="F20" s="372"/>
      <c r="G20" s="413"/>
      <c r="H20" s="413"/>
    </row>
    <row r="21" spans="2:8">
      <c r="B21" s="363"/>
      <c r="C21" s="371"/>
      <c r="D21" s="371"/>
      <c r="E21" s="371"/>
      <c r="F21" s="372"/>
      <c r="G21" s="414" t="s">
        <v>355</v>
      </c>
      <c r="H21" s="413"/>
    </row>
    <row r="24" spans="2:8">
      <c r="E24" s="362" t="s">
        <v>0</v>
      </c>
    </row>
  </sheetData>
  <mergeCells count="1">
    <mergeCell ref="B9:D9"/>
  </mergeCells>
  <hyperlinks>
    <hyperlink ref="A1" location="'TABLE OF CONTENTS'!A1" display="INDEX" xr:uid="{0056C797-3E9D-434E-9111-83528559594B}"/>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876A1-B5AA-4ECC-AFDB-9BF7A4E3F27B}">
  <sheetPr codeName="Sheet27">
    <tabColor rgb="FF00B0F0"/>
    <outlinePr summaryBelow="0" summaryRight="0"/>
  </sheetPr>
  <dimension ref="A1:M936"/>
  <sheetViews>
    <sheetView workbookViewId="0"/>
  </sheetViews>
  <sheetFormatPr defaultColWidth="12.5703125" defaultRowHeight="15" customHeight="1"/>
  <cols>
    <col min="1" max="16384" width="12.5703125" style="520"/>
  </cols>
  <sheetData>
    <row r="1" spans="1:13" ht="15" customHeight="1">
      <c r="A1" s="59" t="s">
        <v>1650</v>
      </c>
      <c r="B1" s="196"/>
      <c r="C1" s="196" t="s">
        <v>1070</v>
      </c>
      <c r="D1" s="518"/>
      <c r="E1" s="518"/>
      <c r="F1" s="518"/>
      <c r="G1" s="519"/>
      <c r="H1" s="519"/>
      <c r="I1" s="519"/>
      <c r="J1" s="519"/>
      <c r="K1" s="519"/>
      <c r="L1" s="519"/>
      <c r="M1" s="290" t="s">
        <v>1064</v>
      </c>
    </row>
    <row r="2" spans="1:13" ht="15" customHeight="1">
      <c r="B2" s="1288" t="str">
        <f>UPPER(COA!B2)</f>
        <v>ANONYMOUS COMPANY</v>
      </c>
      <c r="C2" s="1288"/>
      <c r="D2" s="1288"/>
      <c r="E2" s="1288"/>
      <c r="F2" s="1288"/>
      <c r="G2" s="1288"/>
      <c r="H2" s="1288"/>
      <c r="I2" s="1288"/>
      <c r="J2" s="1288"/>
      <c r="K2" s="1288"/>
      <c r="L2" s="1288"/>
      <c r="M2" s="519"/>
    </row>
    <row r="3" spans="1:13" ht="15" customHeight="1">
      <c r="B3" s="1289" t="str">
        <f>"FOR THE YEAR ENDED "&amp;UPPER(TEXT(COA!$B$4,"MMMM DD, YYYY"))</f>
        <v>FOR THE YEAR ENDED DECEMBER 31, 2025</v>
      </c>
      <c r="C3" s="1289"/>
      <c r="D3" s="1289"/>
      <c r="E3" s="1289"/>
      <c r="F3" s="1289"/>
      <c r="G3" s="1289"/>
      <c r="H3" s="1289"/>
      <c r="I3" s="1289"/>
      <c r="J3" s="1289"/>
      <c r="K3" s="1289"/>
      <c r="L3" s="1289"/>
      <c r="M3" s="519"/>
    </row>
    <row r="4" spans="1:13" ht="15" customHeight="1">
      <c r="B4" s="1290" t="s">
        <v>651</v>
      </c>
      <c r="C4" s="1290"/>
      <c r="D4" s="1290"/>
      <c r="E4" s="1290"/>
      <c r="F4" s="1290"/>
      <c r="G4" s="1290"/>
      <c r="H4" s="1290"/>
      <c r="I4" s="1290"/>
      <c r="J4" s="1290"/>
      <c r="K4" s="1290"/>
      <c r="L4" s="1290"/>
      <c r="M4" s="519"/>
    </row>
    <row r="5" spans="1:13" ht="15" customHeight="1" thickBot="1">
      <c r="B5" s="228"/>
      <c r="C5" s="521"/>
      <c r="D5" s="521"/>
      <c r="E5" s="521"/>
      <c r="F5" s="521"/>
      <c r="G5" s="522"/>
      <c r="H5" s="228"/>
      <c r="I5" s="522"/>
      <c r="J5" s="522"/>
      <c r="K5" s="522"/>
      <c r="L5" s="522"/>
      <c r="M5" s="519"/>
    </row>
    <row r="6" spans="1:13" ht="31.5" customHeight="1" thickBot="1">
      <c r="B6" s="1291" t="s">
        <v>652</v>
      </c>
      <c r="C6" s="1291"/>
      <c r="D6" s="1291"/>
      <c r="E6" s="1291"/>
      <c r="F6" s="1291"/>
      <c r="G6" s="1291"/>
      <c r="H6" s="1291"/>
      <c r="I6" s="1291"/>
      <c r="J6" s="1291"/>
      <c r="K6" s="1291"/>
      <c r="L6" s="1291"/>
      <c r="M6" s="519"/>
    </row>
    <row r="7" spans="1:13" ht="15" customHeight="1">
      <c r="B7" s="519" t="s">
        <v>0</v>
      </c>
      <c r="C7" s="519"/>
      <c r="D7" s="519"/>
      <c r="E7" s="519"/>
      <c r="F7" s="519"/>
      <c r="G7" s="519"/>
      <c r="H7" s="519"/>
      <c r="I7" s="519"/>
      <c r="J7" s="519"/>
      <c r="K7" s="519"/>
      <c r="L7" s="519"/>
      <c r="M7" s="519"/>
    </row>
    <row r="8" spans="1:13" ht="15" customHeight="1">
      <c r="C8" s="523"/>
    </row>
    <row r="9" spans="1:13" ht="15" customHeight="1">
      <c r="C9" s="523"/>
    </row>
    <row r="10" spans="1:13" ht="15" customHeight="1">
      <c r="C10" s="523"/>
    </row>
    <row r="11" spans="1:13" ht="15" customHeight="1">
      <c r="C11" s="523"/>
    </row>
    <row r="12" spans="1:13" ht="15" customHeight="1">
      <c r="C12" s="523"/>
    </row>
    <row r="13" spans="1:13" ht="15" customHeight="1">
      <c r="C13" s="523"/>
    </row>
    <row r="14" spans="1:13" ht="15" customHeight="1">
      <c r="C14" s="523"/>
    </row>
    <row r="15" spans="1:13" ht="15" customHeight="1">
      <c r="C15" s="523"/>
    </row>
    <row r="16" spans="1:13" ht="15" customHeight="1">
      <c r="C16" s="523"/>
    </row>
    <row r="17" spans="3:3" ht="15" customHeight="1">
      <c r="C17" s="523"/>
    </row>
    <row r="18" spans="3:3" ht="15" customHeight="1">
      <c r="C18" s="523"/>
    </row>
    <row r="19" spans="3:3" ht="15" customHeight="1">
      <c r="C19" s="523"/>
    </row>
    <row r="20" spans="3:3" ht="15" customHeight="1">
      <c r="C20" s="523"/>
    </row>
    <row r="21" spans="3:3" ht="15" customHeight="1">
      <c r="C21" s="523"/>
    </row>
    <row r="22" spans="3:3" ht="15" customHeight="1">
      <c r="C22" s="523"/>
    </row>
    <row r="23" spans="3:3" ht="15" customHeight="1">
      <c r="C23" s="523"/>
    </row>
    <row r="24" spans="3:3" ht="15" customHeight="1">
      <c r="C24" s="523"/>
    </row>
    <row r="25" spans="3:3" ht="15" customHeight="1">
      <c r="C25" s="523"/>
    </row>
    <row r="26" spans="3:3" ht="15" customHeight="1">
      <c r="C26" s="523"/>
    </row>
    <row r="27" spans="3:3" ht="15" customHeight="1">
      <c r="C27" s="523"/>
    </row>
    <row r="28" spans="3:3" ht="15" customHeight="1">
      <c r="C28" s="523"/>
    </row>
    <row r="29" spans="3:3" ht="15" customHeight="1">
      <c r="C29" s="523"/>
    </row>
    <row r="30" spans="3:3" ht="15" customHeight="1">
      <c r="C30" s="523"/>
    </row>
    <row r="31" spans="3:3" ht="15" customHeight="1">
      <c r="C31" s="523"/>
    </row>
    <row r="32" spans="3:3" ht="15" customHeight="1">
      <c r="C32" s="523"/>
    </row>
    <row r="33" spans="3:3" ht="15" customHeight="1">
      <c r="C33" s="523"/>
    </row>
    <row r="34" spans="3:3" ht="15" customHeight="1">
      <c r="C34" s="523"/>
    </row>
    <row r="35" spans="3:3" ht="15" customHeight="1">
      <c r="C35" s="523"/>
    </row>
    <row r="36" spans="3:3" ht="15" customHeight="1">
      <c r="C36" s="523"/>
    </row>
    <row r="37" spans="3:3" ht="15" customHeight="1">
      <c r="C37" s="523"/>
    </row>
    <row r="38" spans="3:3" ht="15" customHeight="1">
      <c r="C38" s="523"/>
    </row>
    <row r="39" spans="3:3" ht="15" customHeight="1">
      <c r="C39" s="523"/>
    </row>
    <row r="40" spans="3:3" ht="15" customHeight="1">
      <c r="C40" s="523"/>
    </row>
    <row r="41" spans="3:3" ht="15" customHeight="1">
      <c r="C41" s="523"/>
    </row>
    <row r="42" spans="3:3" ht="15" customHeight="1">
      <c r="C42" s="523"/>
    </row>
    <row r="43" spans="3:3" ht="15" customHeight="1">
      <c r="C43" s="523"/>
    </row>
    <row r="44" spans="3:3" ht="15" customHeight="1">
      <c r="C44" s="523"/>
    </row>
    <row r="45" spans="3:3" ht="15" customHeight="1">
      <c r="C45" s="523"/>
    </row>
    <row r="46" spans="3:3" ht="15" customHeight="1">
      <c r="C46" s="523"/>
    </row>
    <row r="47" spans="3:3" ht="15" customHeight="1">
      <c r="C47" s="523"/>
    </row>
    <row r="48" spans="3:3" ht="15" customHeight="1">
      <c r="C48" s="523"/>
    </row>
    <row r="49" spans="3:3" ht="15" customHeight="1">
      <c r="C49" s="523"/>
    </row>
    <row r="50" spans="3:3" ht="15" customHeight="1">
      <c r="C50" s="523"/>
    </row>
    <row r="51" spans="3:3" ht="15" customHeight="1">
      <c r="C51" s="523"/>
    </row>
    <row r="52" spans="3:3" ht="15" customHeight="1">
      <c r="C52" s="523"/>
    </row>
    <row r="53" spans="3:3" ht="15" customHeight="1">
      <c r="C53" s="523"/>
    </row>
    <row r="54" spans="3:3" ht="15" customHeight="1">
      <c r="C54" s="523"/>
    </row>
    <row r="55" spans="3:3" ht="15" customHeight="1">
      <c r="C55" s="523"/>
    </row>
    <row r="56" spans="3:3" ht="15" customHeight="1">
      <c r="C56" s="523"/>
    </row>
    <row r="57" spans="3:3" ht="15" customHeight="1">
      <c r="C57" s="523"/>
    </row>
    <row r="58" spans="3:3" ht="15" customHeight="1">
      <c r="C58" s="523"/>
    </row>
    <row r="59" spans="3:3" ht="15" customHeight="1">
      <c r="C59" s="523"/>
    </row>
    <row r="60" spans="3:3" ht="15" customHeight="1">
      <c r="C60" s="523"/>
    </row>
    <row r="61" spans="3:3" ht="15" customHeight="1">
      <c r="C61" s="523"/>
    </row>
    <row r="62" spans="3:3" ht="15" customHeight="1">
      <c r="C62" s="523"/>
    </row>
    <row r="63" spans="3:3" ht="15" customHeight="1">
      <c r="C63" s="523"/>
    </row>
    <row r="64" spans="3:3" ht="15" customHeight="1">
      <c r="C64" s="523"/>
    </row>
    <row r="65" spans="3:3" ht="15" customHeight="1">
      <c r="C65" s="523"/>
    </row>
    <row r="66" spans="3:3" ht="15" customHeight="1">
      <c r="C66" s="523"/>
    </row>
    <row r="67" spans="3:3" ht="15" customHeight="1">
      <c r="C67" s="523"/>
    </row>
    <row r="68" spans="3:3" ht="15" customHeight="1">
      <c r="C68" s="523"/>
    </row>
    <row r="69" spans="3:3" ht="15" customHeight="1">
      <c r="C69" s="523"/>
    </row>
    <row r="70" spans="3:3" ht="15" customHeight="1">
      <c r="C70" s="523"/>
    </row>
    <row r="71" spans="3:3" ht="15" customHeight="1">
      <c r="C71" s="523"/>
    </row>
    <row r="72" spans="3:3" ht="15" customHeight="1">
      <c r="C72" s="523"/>
    </row>
    <row r="73" spans="3:3" ht="15" customHeight="1">
      <c r="C73" s="523"/>
    </row>
    <row r="74" spans="3:3" ht="15" customHeight="1">
      <c r="C74" s="523"/>
    </row>
    <row r="75" spans="3:3" ht="15" customHeight="1">
      <c r="C75" s="523"/>
    </row>
    <row r="76" spans="3:3" ht="15" customHeight="1">
      <c r="C76" s="523"/>
    </row>
    <row r="77" spans="3:3" ht="15" customHeight="1">
      <c r="C77" s="523"/>
    </row>
    <row r="78" spans="3:3" ht="15" customHeight="1">
      <c r="C78" s="523"/>
    </row>
    <row r="79" spans="3:3" ht="15" customHeight="1">
      <c r="C79" s="523"/>
    </row>
    <row r="80" spans="3:3" ht="15" customHeight="1">
      <c r="C80" s="523"/>
    </row>
    <row r="81" spans="3:3" ht="15" customHeight="1">
      <c r="C81" s="523"/>
    </row>
    <row r="82" spans="3:3" ht="15" customHeight="1">
      <c r="C82" s="523"/>
    </row>
    <row r="83" spans="3:3" ht="15" customHeight="1">
      <c r="C83" s="523"/>
    </row>
    <row r="84" spans="3:3" ht="15" customHeight="1">
      <c r="C84" s="523"/>
    </row>
    <row r="85" spans="3:3" ht="15" customHeight="1">
      <c r="C85" s="523"/>
    </row>
    <row r="86" spans="3:3" ht="15" customHeight="1">
      <c r="C86" s="523"/>
    </row>
    <row r="87" spans="3:3" ht="15" customHeight="1">
      <c r="C87" s="523"/>
    </row>
    <row r="88" spans="3:3" ht="15" customHeight="1">
      <c r="C88" s="523"/>
    </row>
    <row r="89" spans="3:3" ht="15" customHeight="1">
      <c r="C89" s="523"/>
    </row>
    <row r="90" spans="3:3" ht="15" customHeight="1">
      <c r="C90" s="523"/>
    </row>
    <row r="91" spans="3:3" ht="15" customHeight="1">
      <c r="C91" s="523"/>
    </row>
    <row r="92" spans="3:3" ht="15" customHeight="1">
      <c r="C92" s="523"/>
    </row>
    <row r="93" spans="3:3" ht="15" customHeight="1">
      <c r="C93" s="523"/>
    </row>
    <row r="94" spans="3:3" ht="15" customHeight="1">
      <c r="C94" s="523"/>
    </row>
    <row r="95" spans="3:3" ht="15" customHeight="1">
      <c r="C95" s="523"/>
    </row>
    <row r="96" spans="3:3" ht="15" customHeight="1">
      <c r="C96" s="523"/>
    </row>
    <row r="97" spans="3:3" ht="15" customHeight="1">
      <c r="C97" s="523"/>
    </row>
    <row r="98" spans="3:3" ht="15" customHeight="1">
      <c r="C98" s="523"/>
    </row>
    <row r="99" spans="3:3" ht="15" customHeight="1">
      <c r="C99" s="523"/>
    </row>
    <row r="100" spans="3:3" ht="15" customHeight="1">
      <c r="C100" s="523"/>
    </row>
    <row r="101" spans="3:3" ht="15" customHeight="1">
      <c r="C101" s="523"/>
    </row>
    <row r="102" spans="3:3" ht="15" customHeight="1">
      <c r="C102" s="523"/>
    </row>
    <row r="103" spans="3:3" ht="15" customHeight="1">
      <c r="C103" s="523"/>
    </row>
    <row r="104" spans="3:3" ht="15" customHeight="1">
      <c r="C104" s="523"/>
    </row>
    <row r="105" spans="3:3" ht="15" customHeight="1">
      <c r="C105" s="523"/>
    </row>
    <row r="106" spans="3:3" ht="15" customHeight="1">
      <c r="C106" s="523"/>
    </row>
    <row r="107" spans="3:3" ht="15" customHeight="1">
      <c r="C107" s="523"/>
    </row>
    <row r="108" spans="3:3" ht="15" customHeight="1">
      <c r="C108" s="523"/>
    </row>
    <row r="109" spans="3:3" ht="15" customHeight="1">
      <c r="C109" s="523"/>
    </row>
    <row r="110" spans="3:3" ht="15" customHeight="1">
      <c r="C110" s="523"/>
    </row>
    <row r="111" spans="3:3" ht="15" customHeight="1">
      <c r="C111" s="523"/>
    </row>
    <row r="112" spans="3:3" ht="15" customHeight="1">
      <c r="C112" s="523"/>
    </row>
    <row r="113" spans="3:3" ht="15" customHeight="1">
      <c r="C113" s="523"/>
    </row>
    <row r="114" spans="3:3" ht="15" customHeight="1">
      <c r="C114" s="523"/>
    </row>
    <row r="115" spans="3:3" ht="15" customHeight="1">
      <c r="C115" s="523"/>
    </row>
    <row r="116" spans="3:3" ht="15" customHeight="1">
      <c r="C116" s="523"/>
    </row>
    <row r="117" spans="3:3" ht="15" customHeight="1">
      <c r="C117" s="523"/>
    </row>
    <row r="118" spans="3:3" ht="15" customHeight="1">
      <c r="C118" s="523"/>
    </row>
    <row r="119" spans="3:3" ht="15" customHeight="1">
      <c r="C119" s="523"/>
    </row>
    <row r="120" spans="3:3" ht="15" customHeight="1">
      <c r="C120" s="523"/>
    </row>
    <row r="121" spans="3:3" ht="15" customHeight="1">
      <c r="C121" s="523"/>
    </row>
    <row r="122" spans="3:3" ht="15" customHeight="1">
      <c r="C122" s="523"/>
    </row>
    <row r="123" spans="3:3" ht="15" customHeight="1">
      <c r="C123" s="523"/>
    </row>
    <row r="124" spans="3:3" ht="15" customHeight="1">
      <c r="C124" s="523"/>
    </row>
    <row r="125" spans="3:3" ht="15" customHeight="1">
      <c r="C125" s="523"/>
    </row>
    <row r="126" spans="3:3" ht="15" customHeight="1">
      <c r="C126" s="523"/>
    </row>
    <row r="127" spans="3:3" ht="15" customHeight="1">
      <c r="C127" s="523"/>
    </row>
    <row r="128" spans="3:3" ht="15" customHeight="1">
      <c r="C128" s="523"/>
    </row>
    <row r="129" spans="3:3" ht="15" customHeight="1">
      <c r="C129" s="523"/>
    </row>
    <row r="130" spans="3:3" ht="15" customHeight="1">
      <c r="C130" s="523"/>
    </row>
    <row r="131" spans="3:3" ht="15" customHeight="1">
      <c r="C131" s="523"/>
    </row>
    <row r="132" spans="3:3" ht="15" customHeight="1">
      <c r="C132" s="523"/>
    </row>
    <row r="133" spans="3:3" ht="15" customHeight="1">
      <c r="C133" s="523"/>
    </row>
    <row r="134" spans="3:3" ht="15" customHeight="1">
      <c r="C134" s="523"/>
    </row>
    <row r="135" spans="3:3" ht="15" customHeight="1">
      <c r="C135" s="523"/>
    </row>
    <row r="136" spans="3:3" ht="15" customHeight="1">
      <c r="C136" s="523"/>
    </row>
    <row r="137" spans="3:3" ht="15" customHeight="1">
      <c r="C137" s="523"/>
    </row>
    <row r="138" spans="3:3" ht="15" customHeight="1">
      <c r="C138" s="523"/>
    </row>
    <row r="139" spans="3:3" ht="15" customHeight="1">
      <c r="C139" s="523"/>
    </row>
    <row r="140" spans="3:3" ht="15" customHeight="1">
      <c r="C140" s="523"/>
    </row>
    <row r="141" spans="3:3" ht="15" customHeight="1">
      <c r="C141" s="523"/>
    </row>
    <row r="142" spans="3:3" ht="15" customHeight="1">
      <c r="C142" s="523"/>
    </row>
    <row r="143" spans="3:3" ht="15" customHeight="1">
      <c r="C143" s="523"/>
    </row>
    <row r="144" spans="3:3" ht="15" customHeight="1">
      <c r="C144" s="523"/>
    </row>
    <row r="145" spans="3:3" ht="15" customHeight="1">
      <c r="C145" s="523"/>
    </row>
    <row r="146" spans="3:3" ht="15" customHeight="1">
      <c r="C146" s="523"/>
    </row>
    <row r="147" spans="3:3" ht="15" customHeight="1">
      <c r="C147" s="523"/>
    </row>
    <row r="148" spans="3:3" ht="15" customHeight="1">
      <c r="C148" s="523"/>
    </row>
    <row r="149" spans="3:3" ht="15" customHeight="1">
      <c r="C149" s="523"/>
    </row>
    <row r="150" spans="3:3" ht="15" customHeight="1">
      <c r="C150" s="523"/>
    </row>
    <row r="151" spans="3:3" ht="15" customHeight="1">
      <c r="C151" s="523"/>
    </row>
    <row r="152" spans="3:3" ht="15" customHeight="1">
      <c r="C152" s="523"/>
    </row>
    <row r="153" spans="3:3" ht="15" customHeight="1">
      <c r="C153" s="523"/>
    </row>
    <row r="154" spans="3:3" ht="15" customHeight="1">
      <c r="C154" s="523"/>
    </row>
    <row r="155" spans="3:3" ht="15" customHeight="1">
      <c r="C155" s="523"/>
    </row>
    <row r="156" spans="3:3" ht="15" customHeight="1">
      <c r="C156" s="523"/>
    </row>
    <row r="157" spans="3:3" ht="15" customHeight="1">
      <c r="C157" s="523"/>
    </row>
    <row r="158" spans="3:3" ht="15" customHeight="1">
      <c r="C158" s="523"/>
    </row>
    <row r="159" spans="3:3" ht="15" customHeight="1">
      <c r="C159" s="523"/>
    </row>
    <row r="160" spans="3:3" ht="15" customHeight="1">
      <c r="C160" s="523"/>
    </row>
    <row r="161" spans="3:3" ht="15" customHeight="1">
      <c r="C161" s="523"/>
    </row>
    <row r="162" spans="3:3" ht="15" customHeight="1">
      <c r="C162" s="523"/>
    </row>
    <row r="163" spans="3:3" ht="15" customHeight="1">
      <c r="C163" s="523"/>
    </row>
    <row r="164" spans="3:3" ht="15" customHeight="1">
      <c r="C164" s="523"/>
    </row>
    <row r="165" spans="3:3" ht="15" customHeight="1">
      <c r="C165" s="523"/>
    </row>
    <row r="166" spans="3:3" ht="15" customHeight="1">
      <c r="C166" s="523"/>
    </row>
    <row r="167" spans="3:3" ht="15" customHeight="1">
      <c r="C167" s="523"/>
    </row>
    <row r="168" spans="3:3" ht="15" customHeight="1">
      <c r="C168" s="523"/>
    </row>
    <row r="169" spans="3:3" ht="15" customHeight="1">
      <c r="C169" s="523"/>
    </row>
    <row r="170" spans="3:3" ht="15" customHeight="1">
      <c r="C170" s="523"/>
    </row>
    <row r="171" spans="3:3" ht="15" customHeight="1">
      <c r="C171" s="523"/>
    </row>
    <row r="172" spans="3:3" ht="15" customHeight="1">
      <c r="C172" s="523"/>
    </row>
    <row r="173" spans="3:3" ht="15" customHeight="1">
      <c r="C173" s="523"/>
    </row>
    <row r="174" spans="3:3" ht="15" customHeight="1">
      <c r="C174" s="523"/>
    </row>
    <row r="175" spans="3:3" ht="15" customHeight="1">
      <c r="C175" s="523"/>
    </row>
    <row r="176" spans="3:3" ht="15" customHeight="1">
      <c r="C176" s="523"/>
    </row>
    <row r="177" spans="3:3" ht="15" customHeight="1">
      <c r="C177" s="523"/>
    </row>
    <row r="178" spans="3:3" ht="15" customHeight="1">
      <c r="C178" s="523"/>
    </row>
    <row r="179" spans="3:3" ht="15" customHeight="1">
      <c r="C179" s="523"/>
    </row>
    <row r="180" spans="3:3" ht="15" customHeight="1">
      <c r="C180" s="523"/>
    </row>
    <row r="181" spans="3:3" ht="15" customHeight="1">
      <c r="C181" s="523"/>
    </row>
    <row r="182" spans="3:3" ht="15" customHeight="1">
      <c r="C182" s="523"/>
    </row>
    <row r="183" spans="3:3" ht="15" customHeight="1">
      <c r="C183" s="523"/>
    </row>
    <row r="184" spans="3:3" ht="15" customHeight="1">
      <c r="C184" s="523"/>
    </row>
    <row r="185" spans="3:3" ht="15" customHeight="1">
      <c r="C185" s="523"/>
    </row>
    <row r="186" spans="3:3" ht="15" customHeight="1">
      <c r="C186" s="523"/>
    </row>
    <row r="187" spans="3:3" ht="15" customHeight="1">
      <c r="C187" s="523"/>
    </row>
    <row r="188" spans="3:3" ht="15" customHeight="1">
      <c r="C188" s="523"/>
    </row>
    <row r="189" spans="3:3" ht="15" customHeight="1">
      <c r="C189" s="523"/>
    </row>
    <row r="190" spans="3:3" ht="15" customHeight="1">
      <c r="C190" s="523"/>
    </row>
    <row r="191" spans="3:3" ht="15" customHeight="1">
      <c r="C191" s="523"/>
    </row>
    <row r="192" spans="3:3" ht="15" customHeight="1">
      <c r="C192" s="523"/>
    </row>
    <row r="193" spans="3:3" ht="15" customHeight="1">
      <c r="C193" s="523"/>
    </row>
    <row r="194" spans="3:3" ht="15" customHeight="1">
      <c r="C194" s="523"/>
    </row>
    <row r="195" spans="3:3" ht="15" customHeight="1">
      <c r="C195" s="523"/>
    </row>
    <row r="196" spans="3:3" ht="15" customHeight="1">
      <c r="C196" s="523"/>
    </row>
    <row r="197" spans="3:3" ht="15" customHeight="1">
      <c r="C197" s="523"/>
    </row>
    <row r="198" spans="3:3" ht="15" customHeight="1">
      <c r="C198" s="523"/>
    </row>
    <row r="199" spans="3:3" ht="15" customHeight="1">
      <c r="C199" s="523"/>
    </row>
    <row r="200" spans="3:3" ht="15" customHeight="1">
      <c r="C200" s="523"/>
    </row>
    <row r="201" spans="3:3" ht="15" customHeight="1">
      <c r="C201" s="523"/>
    </row>
    <row r="202" spans="3:3" ht="15" customHeight="1">
      <c r="C202" s="523"/>
    </row>
    <row r="203" spans="3:3" ht="15" customHeight="1">
      <c r="C203" s="523"/>
    </row>
    <row r="204" spans="3:3" ht="15" customHeight="1">
      <c r="C204" s="523"/>
    </row>
    <row r="205" spans="3:3" ht="15" customHeight="1">
      <c r="C205" s="523"/>
    </row>
    <row r="206" spans="3:3" ht="15" customHeight="1">
      <c r="C206" s="523"/>
    </row>
    <row r="207" spans="3:3" ht="15" customHeight="1">
      <c r="C207" s="523"/>
    </row>
    <row r="208" spans="3:3" ht="15" customHeight="1">
      <c r="C208" s="523"/>
    </row>
    <row r="209" spans="3:3" ht="15" customHeight="1">
      <c r="C209" s="523"/>
    </row>
    <row r="210" spans="3:3" ht="15" customHeight="1">
      <c r="C210" s="523"/>
    </row>
    <row r="211" spans="3:3" ht="15" customHeight="1">
      <c r="C211" s="523"/>
    </row>
    <row r="212" spans="3:3" ht="15" customHeight="1">
      <c r="C212" s="523"/>
    </row>
    <row r="213" spans="3:3" ht="15" customHeight="1">
      <c r="C213" s="523"/>
    </row>
    <row r="214" spans="3:3" ht="15" customHeight="1">
      <c r="C214" s="523"/>
    </row>
    <row r="215" spans="3:3" ht="15" customHeight="1">
      <c r="C215" s="523"/>
    </row>
    <row r="216" spans="3:3" ht="15" customHeight="1">
      <c r="C216" s="523"/>
    </row>
    <row r="217" spans="3:3" ht="15" customHeight="1">
      <c r="C217" s="523"/>
    </row>
    <row r="218" spans="3:3" ht="15" customHeight="1">
      <c r="C218" s="523"/>
    </row>
    <row r="219" spans="3:3" ht="15" customHeight="1">
      <c r="C219" s="523"/>
    </row>
    <row r="220" spans="3:3" ht="15" customHeight="1">
      <c r="C220" s="523"/>
    </row>
    <row r="221" spans="3:3" ht="15" customHeight="1">
      <c r="C221" s="523"/>
    </row>
    <row r="222" spans="3:3" ht="15" customHeight="1">
      <c r="C222" s="523"/>
    </row>
    <row r="223" spans="3:3" ht="15" customHeight="1">
      <c r="C223" s="523"/>
    </row>
    <row r="224" spans="3:3" ht="15" customHeight="1">
      <c r="C224" s="523"/>
    </row>
    <row r="225" spans="3:3" ht="15" customHeight="1">
      <c r="C225" s="523"/>
    </row>
    <row r="226" spans="3:3" ht="15" customHeight="1">
      <c r="C226" s="523"/>
    </row>
    <row r="227" spans="3:3" ht="15" customHeight="1">
      <c r="C227" s="523"/>
    </row>
    <row r="228" spans="3:3" ht="15" customHeight="1">
      <c r="C228" s="523"/>
    </row>
    <row r="229" spans="3:3" ht="15" customHeight="1">
      <c r="C229" s="523"/>
    </row>
    <row r="230" spans="3:3" ht="15" customHeight="1">
      <c r="C230" s="523"/>
    </row>
    <row r="231" spans="3:3" ht="15" customHeight="1">
      <c r="C231" s="523"/>
    </row>
    <row r="232" spans="3:3" ht="15" customHeight="1">
      <c r="C232" s="523"/>
    </row>
    <row r="233" spans="3:3" ht="15" customHeight="1">
      <c r="C233" s="523"/>
    </row>
    <row r="234" spans="3:3" ht="15" customHeight="1">
      <c r="C234" s="523"/>
    </row>
    <row r="235" spans="3:3" ht="15" customHeight="1">
      <c r="C235" s="523"/>
    </row>
    <row r="236" spans="3:3" ht="15" customHeight="1">
      <c r="C236" s="523"/>
    </row>
    <row r="237" spans="3:3" ht="15" customHeight="1">
      <c r="C237" s="523"/>
    </row>
    <row r="238" spans="3:3" ht="15" customHeight="1">
      <c r="C238" s="523"/>
    </row>
    <row r="239" spans="3:3" ht="15" customHeight="1">
      <c r="C239" s="523"/>
    </row>
    <row r="240" spans="3:3" ht="15" customHeight="1">
      <c r="C240" s="523"/>
    </row>
    <row r="241" spans="3:3" ht="15" customHeight="1">
      <c r="C241" s="523"/>
    </row>
    <row r="242" spans="3:3" ht="15" customHeight="1">
      <c r="C242" s="523"/>
    </row>
    <row r="243" spans="3:3" ht="15" customHeight="1">
      <c r="C243" s="523"/>
    </row>
    <row r="244" spans="3:3" ht="15" customHeight="1">
      <c r="C244" s="523"/>
    </row>
    <row r="245" spans="3:3" ht="15" customHeight="1">
      <c r="C245" s="523"/>
    </row>
    <row r="246" spans="3:3" ht="15" customHeight="1">
      <c r="C246" s="523"/>
    </row>
    <row r="247" spans="3:3" ht="15" customHeight="1">
      <c r="C247" s="523"/>
    </row>
    <row r="248" spans="3:3" ht="15" customHeight="1">
      <c r="C248" s="523"/>
    </row>
    <row r="249" spans="3:3" ht="15" customHeight="1">
      <c r="C249" s="523"/>
    </row>
    <row r="250" spans="3:3" ht="15" customHeight="1">
      <c r="C250" s="523"/>
    </row>
    <row r="251" spans="3:3" ht="15" customHeight="1">
      <c r="C251" s="523"/>
    </row>
    <row r="252" spans="3:3" ht="15" customHeight="1">
      <c r="C252" s="523"/>
    </row>
    <row r="253" spans="3:3" ht="15" customHeight="1">
      <c r="C253" s="523"/>
    </row>
    <row r="254" spans="3:3" ht="15" customHeight="1">
      <c r="C254" s="523"/>
    </row>
    <row r="255" spans="3:3" ht="15" customHeight="1">
      <c r="C255" s="523"/>
    </row>
    <row r="256" spans="3:3" ht="15" customHeight="1">
      <c r="C256" s="523"/>
    </row>
    <row r="257" spans="3:3" ht="15" customHeight="1">
      <c r="C257" s="523"/>
    </row>
    <row r="258" spans="3:3" ht="15" customHeight="1">
      <c r="C258" s="523"/>
    </row>
    <row r="259" spans="3:3" ht="15" customHeight="1">
      <c r="C259" s="523"/>
    </row>
    <row r="260" spans="3:3" ht="15" customHeight="1">
      <c r="C260" s="523"/>
    </row>
    <row r="261" spans="3:3" ht="15" customHeight="1">
      <c r="C261" s="523"/>
    </row>
    <row r="262" spans="3:3" ht="15" customHeight="1">
      <c r="C262" s="523"/>
    </row>
    <row r="263" spans="3:3" ht="15" customHeight="1">
      <c r="C263" s="523"/>
    </row>
    <row r="264" spans="3:3" ht="15" customHeight="1">
      <c r="C264" s="523"/>
    </row>
    <row r="265" spans="3:3" ht="15" customHeight="1">
      <c r="C265" s="523"/>
    </row>
    <row r="266" spans="3:3" ht="15" customHeight="1">
      <c r="C266" s="523"/>
    </row>
    <row r="267" spans="3:3" ht="15" customHeight="1">
      <c r="C267" s="523"/>
    </row>
    <row r="268" spans="3:3" ht="15" customHeight="1">
      <c r="C268" s="523"/>
    </row>
    <row r="269" spans="3:3" ht="15" customHeight="1">
      <c r="C269" s="523"/>
    </row>
    <row r="270" spans="3:3" ht="15" customHeight="1">
      <c r="C270" s="523"/>
    </row>
    <row r="271" spans="3:3" ht="15" customHeight="1">
      <c r="C271" s="523"/>
    </row>
    <row r="272" spans="3:3" ht="15" customHeight="1">
      <c r="C272" s="523"/>
    </row>
    <row r="273" spans="3:3" ht="15" customHeight="1">
      <c r="C273" s="523"/>
    </row>
    <row r="274" spans="3:3" ht="15" customHeight="1">
      <c r="C274" s="523"/>
    </row>
    <row r="275" spans="3:3" ht="15" customHeight="1">
      <c r="C275" s="523"/>
    </row>
    <row r="276" spans="3:3" ht="15" customHeight="1">
      <c r="C276" s="523"/>
    </row>
    <row r="277" spans="3:3" ht="15" customHeight="1">
      <c r="C277" s="523"/>
    </row>
    <row r="278" spans="3:3" ht="15" customHeight="1">
      <c r="C278" s="523"/>
    </row>
    <row r="279" spans="3:3" ht="15" customHeight="1">
      <c r="C279" s="523"/>
    </row>
    <row r="280" spans="3:3" ht="15" customHeight="1">
      <c r="C280" s="523"/>
    </row>
    <row r="281" spans="3:3" ht="15" customHeight="1">
      <c r="C281" s="523"/>
    </row>
    <row r="282" spans="3:3" ht="15" customHeight="1">
      <c r="C282" s="523"/>
    </row>
    <row r="283" spans="3:3" ht="15" customHeight="1">
      <c r="C283" s="523"/>
    </row>
    <row r="284" spans="3:3" ht="15" customHeight="1">
      <c r="C284" s="523"/>
    </row>
    <row r="285" spans="3:3" ht="15" customHeight="1">
      <c r="C285" s="523"/>
    </row>
    <row r="286" spans="3:3" ht="15" customHeight="1">
      <c r="C286" s="523"/>
    </row>
    <row r="287" spans="3:3" ht="15" customHeight="1">
      <c r="C287" s="523"/>
    </row>
    <row r="288" spans="3:3" ht="15" customHeight="1">
      <c r="C288" s="523"/>
    </row>
    <row r="289" spans="3:3" ht="15" customHeight="1">
      <c r="C289" s="523"/>
    </row>
    <row r="290" spans="3:3" ht="15" customHeight="1">
      <c r="C290" s="523"/>
    </row>
    <row r="291" spans="3:3" ht="15" customHeight="1">
      <c r="C291" s="523"/>
    </row>
    <row r="292" spans="3:3" ht="15" customHeight="1">
      <c r="C292" s="523"/>
    </row>
    <row r="293" spans="3:3" ht="15" customHeight="1">
      <c r="C293" s="523"/>
    </row>
    <row r="294" spans="3:3" ht="15" customHeight="1">
      <c r="C294" s="523"/>
    </row>
    <row r="295" spans="3:3" ht="15" customHeight="1">
      <c r="C295" s="523"/>
    </row>
    <row r="296" spans="3:3" ht="15" customHeight="1">
      <c r="C296" s="523"/>
    </row>
    <row r="297" spans="3:3" ht="15" customHeight="1">
      <c r="C297" s="523"/>
    </row>
    <row r="298" spans="3:3" ht="15" customHeight="1">
      <c r="C298" s="523"/>
    </row>
    <row r="299" spans="3:3" ht="15" customHeight="1">
      <c r="C299" s="523"/>
    </row>
    <row r="300" spans="3:3" ht="15" customHeight="1">
      <c r="C300" s="523"/>
    </row>
    <row r="301" spans="3:3" ht="15" customHeight="1">
      <c r="C301" s="523"/>
    </row>
    <row r="302" spans="3:3" ht="15" customHeight="1">
      <c r="C302" s="523"/>
    </row>
    <row r="303" spans="3:3" ht="15" customHeight="1">
      <c r="C303" s="523"/>
    </row>
    <row r="304" spans="3:3" ht="15" customHeight="1">
      <c r="C304" s="523"/>
    </row>
    <row r="305" spans="3:3" ht="15" customHeight="1">
      <c r="C305" s="523"/>
    </row>
    <row r="306" spans="3:3" ht="15" customHeight="1">
      <c r="C306" s="523"/>
    </row>
    <row r="307" spans="3:3" ht="15" customHeight="1">
      <c r="C307" s="523"/>
    </row>
    <row r="308" spans="3:3" ht="15" customHeight="1">
      <c r="C308" s="523"/>
    </row>
    <row r="309" spans="3:3" ht="15" customHeight="1">
      <c r="C309" s="523"/>
    </row>
    <row r="310" spans="3:3" ht="15" customHeight="1">
      <c r="C310" s="523"/>
    </row>
    <row r="311" spans="3:3" ht="15" customHeight="1">
      <c r="C311" s="523"/>
    </row>
    <row r="312" spans="3:3" ht="15" customHeight="1">
      <c r="C312" s="523"/>
    </row>
    <row r="313" spans="3:3" ht="15" customHeight="1">
      <c r="C313" s="523"/>
    </row>
    <row r="314" spans="3:3" ht="15" customHeight="1">
      <c r="C314" s="523"/>
    </row>
    <row r="315" spans="3:3" ht="15" customHeight="1">
      <c r="C315" s="523"/>
    </row>
    <row r="316" spans="3:3" ht="15" customHeight="1">
      <c r="C316" s="523"/>
    </row>
    <row r="317" spans="3:3" ht="15" customHeight="1">
      <c r="C317" s="523"/>
    </row>
    <row r="318" spans="3:3" ht="15" customHeight="1">
      <c r="C318" s="523"/>
    </row>
    <row r="319" spans="3:3" ht="15" customHeight="1">
      <c r="C319" s="523"/>
    </row>
    <row r="320" spans="3:3" ht="15" customHeight="1">
      <c r="C320" s="523"/>
    </row>
    <row r="321" spans="3:3" ht="15" customHeight="1">
      <c r="C321" s="523"/>
    </row>
    <row r="322" spans="3:3" ht="15" customHeight="1">
      <c r="C322" s="523"/>
    </row>
    <row r="323" spans="3:3" ht="15" customHeight="1">
      <c r="C323" s="523"/>
    </row>
    <row r="324" spans="3:3" ht="15" customHeight="1">
      <c r="C324" s="523"/>
    </row>
    <row r="325" spans="3:3" ht="15" customHeight="1">
      <c r="C325" s="523"/>
    </row>
    <row r="326" spans="3:3" ht="15" customHeight="1">
      <c r="C326" s="523"/>
    </row>
    <row r="327" spans="3:3" ht="15" customHeight="1">
      <c r="C327" s="523"/>
    </row>
    <row r="328" spans="3:3" ht="15" customHeight="1">
      <c r="C328" s="523"/>
    </row>
    <row r="329" spans="3:3" ht="15" customHeight="1">
      <c r="C329" s="523"/>
    </row>
    <row r="330" spans="3:3" ht="15" customHeight="1">
      <c r="C330" s="523"/>
    </row>
    <row r="331" spans="3:3" ht="15" customHeight="1">
      <c r="C331" s="523"/>
    </row>
    <row r="332" spans="3:3" ht="15" customHeight="1">
      <c r="C332" s="523"/>
    </row>
    <row r="333" spans="3:3" ht="15" customHeight="1">
      <c r="C333" s="523"/>
    </row>
    <row r="334" spans="3:3" ht="15" customHeight="1">
      <c r="C334" s="523"/>
    </row>
    <row r="335" spans="3:3" ht="15" customHeight="1">
      <c r="C335" s="523"/>
    </row>
    <row r="336" spans="3:3" ht="15" customHeight="1">
      <c r="C336" s="523"/>
    </row>
    <row r="337" spans="3:3" ht="15" customHeight="1">
      <c r="C337" s="523"/>
    </row>
    <row r="338" spans="3:3" ht="15" customHeight="1">
      <c r="C338" s="523"/>
    </row>
    <row r="339" spans="3:3" ht="15" customHeight="1">
      <c r="C339" s="523"/>
    </row>
    <row r="340" spans="3:3" ht="15" customHeight="1">
      <c r="C340" s="523"/>
    </row>
    <row r="341" spans="3:3" ht="15" customHeight="1">
      <c r="C341" s="523"/>
    </row>
    <row r="342" spans="3:3" ht="15" customHeight="1">
      <c r="C342" s="523"/>
    </row>
    <row r="343" spans="3:3" ht="15" customHeight="1">
      <c r="C343" s="523"/>
    </row>
    <row r="344" spans="3:3" ht="15" customHeight="1">
      <c r="C344" s="523"/>
    </row>
    <row r="345" spans="3:3" ht="15" customHeight="1">
      <c r="C345" s="523"/>
    </row>
    <row r="346" spans="3:3" ht="15" customHeight="1">
      <c r="C346" s="523"/>
    </row>
    <row r="347" spans="3:3" ht="15" customHeight="1">
      <c r="C347" s="523"/>
    </row>
    <row r="348" spans="3:3" ht="15" customHeight="1">
      <c r="C348" s="523"/>
    </row>
    <row r="349" spans="3:3" ht="15" customHeight="1">
      <c r="C349" s="523"/>
    </row>
    <row r="350" spans="3:3" ht="15" customHeight="1">
      <c r="C350" s="523"/>
    </row>
    <row r="351" spans="3:3" ht="15" customHeight="1">
      <c r="C351" s="523"/>
    </row>
    <row r="352" spans="3:3" ht="15" customHeight="1">
      <c r="C352" s="523"/>
    </row>
    <row r="353" spans="3:3" ht="15" customHeight="1">
      <c r="C353" s="523"/>
    </row>
    <row r="354" spans="3:3" ht="15" customHeight="1">
      <c r="C354" s="523"/>
    </row>
    <row r="355" spans="3:3" ht="15" customHeight="1">
      <c r="C355" s="523"/>
    </row>
    <row r="356" spans="3:3" ht="15" customHeight="1">
      <c r="C356" s="523"/>
    </row>
    <row r="357" spans="3:3" ht="15" customHeight="1">
      <c r="C357" s="523"/>
    </row>
    <row r="358" spans="3:3" ht="15" customHeight="1">
      <c r="C358" s="523"/>
    </row>
    <row r="359" spans="3:3" ht="15" customHeight="1">
      <c r="C359" s="523"/>
    </row>
    <row r="360" spans="3:3" ht="15" customHeight="1">
      <c r="C360" s="523"/>
    </row>
    <row r="361" spans="3:3" ht="15" customHeight="1">
      <c r="C361" s="523"/>
    </row>
    <row r="362" spans="3:3" ht="15" customHeight="1">
      <c r="C362" s="523"/>
    </row>
    <row r="363" spans="3:3" ht="15" customHeight="1">
      <c r="C363" s="523"/>
    </row>
    <row r="364" spans="3:3" ht="15" customHeight="1">
      <c r="C364" s="523"/>
    </row>
    <row r="365" spans="3:3" ht="15" customHeight="1">
      <c r="C365" s="523"/>
    </row>
    <row r="366" spans="3:3" ht="15" customHeight="1">
      <c r="C366" s="523"/>
    </row>
    <row r="367" spans="3:3" ht="15" customHeight="1">
      <c r="C367" s="523"/>
    </row>
    <row r="368" spans="3:3" ht="15" customHeight="1">
      <c r="C368" s="523"/>
    </row>
    <row r="369" spans="3:3" ht="15" customHeight="1">
      <c r="C369" s="523"/>
    </row>
    <row r="370" spans="3:3" ht="15" customHeight="1">
      <c r="C370" s="523"/>
    </row>
    <row r="371" spans="3:3" ht="15" customHeight="1">
      <c r="C371" s="523"/>
    </row>
    <row r="372" spans="3:3" ht="15" customHeight="1">
      <c r="C372" s="523"/>
    </row>
    <row r="373" spans="3:3" ht="15" customHeight="1">
      <c r="C373" s="523"/>
    </row>
    <row r="374" spans="3:3" ht="15" customHeight="1">
      <c r="C374" s="523"/>
    </row>
    <row r="375" spans="3:3" ht="15" customHeight="1">
      <c r="C375" s="523"/>
    </row>
    <row r="376" spans="3:3" ht="15" customHeight="1">
      <c r="C376" s="523"/>
    </row>
    <row r="377" spans="3:3" ht="15" customHeight="1">
      <c r="C377" s="523"/>
    </row>
    <row r="378" spans="3:3" ht="15" customHeight="1">
      <c r="C378" s="523"/>
    </row>
    <row r="379" spans="3:3" ht="15" customHeight="1">
      <c r="C379" s="523"/>
    </row>
    <row r="380" spans="3:3" ht="15" customHeight="1">
      <c r="C380" s="523"/>
    </row>
    <row r="381" spans="3:3" ht="15" customHeight="1">
      <c r="C381" s="523"/>
    </row>
    <row r="382" spans="3:3" ht="15" customHeight="1">
      <c r="C382" s="523"/>
    </row>
    <row r="383" spans="3:3" ht="15" customHeight="1">
      <c r="C383" s="523"/>
    </row>
    <row r="384" spans="3:3" ht="15" customHeight="1">
      <c r="C384" s="523"/>
    </row>
    <row r="385" spans="3:3" ht="15" customHeight="1">
      <c r="C385" s="523"/>
    </row>
    <row r="386" spans="3:3" ht="15" customHeight="1">
      <c r="C386" s="523"/>
    </row>
    <row r="387" spans="3:3" ht="15" customHeight="1">
      <c r="C387" s="523"/>
    </row>
    <row r="388" spans="3:3" ht="15" customHeight="1">
      <c r="C388" s="523"/>
    </row>
    <row r="389" spans="3:3" ht="15" customHeight="1">
      <c r="C389" s="523"/>
    </row>
    <row r="390" spans="3:3" ht="15" customHeight="1">
      <c r="C390" s="523"/>
    </row>
    <row r="391" spans="3:3" ht="15" customHeight="1">
      <c r="C391" s="523"/>
    </row>
    <row r="392" spans="3:3" ht="15" customHeight="1">
      <c r="C392" s="523"/>
    </row>
    <row r="393" spans="3:3" ht="15" customHeight="1">
      <c r="C393" s="523"/>
    </row>
    <row r="394" spans="3:3" ht="15" customHeight="1">
      <c r="C394" s="523"/>
    </row>
    <row r="395" spans="3:3" ht="15" customHeight="1">
      <c r="C395" s="523"/>
    </row>
    <row r="396" spans="3:3" ht="15" customHeight="1">
      <c r="C396" s="523"/>
    </row>
    <row r="397" spans="3:3" ht="15" customHeight="1">
      <c r="C397" s="523"/>
    </row>
    <row r="398" spans="3:3" ht="15" customHeight="1">
      <c r="C398" s="523"/>
    </row>
    <row r="399" spans="3:3" ht="15" customHeight="1">
      <c r="C399" s="523"/>
    </row>
    <row r="400" spans="3:3" ht="15" customHeight="1">
      <c r="C400" s="523"/>
    </row>
    <row r="401" spans="3:3" ht="15" customHeight="1">
      <c r="C401" s="523"/>
    </row>
    <row r="402" spans="3:3" ht="15" customHeight="1">
      <c r="C402" s="523"/>
    </row>
    <row r="403" spans="3:3" ht="15" customHeight="1">
      <c r="C403" s="523"/>
    </row>
    <row r="404" spans="3:3" ht="15" customHeight="1">
      <c r="C404" s="523"/>
    </row>
    <row r="405" spans="3:3" ht="15" customHeight="1">
      <c r="C405" s="523"/>
    </row>
    <row r="406" spans="3:3" ht="15" customHeight="1">
      <c r="C406" s="523"/>
    </row>
    <row r="407" spans="3:3" ht="15" customHeight="1">
      <c r="C407" s="523"/>
    </row>
    <row r="408" spans="3:3" ht="15" customHeight="1">
      <c r="C408" s="523"/>
    </row>
    <row r="409" spans="3:3" ht="15" customHeight="1">
      <c r="C409" s="523"/>
    </row>
    <row r="410" spans="3:3" ht="15" customHeight="1">
      <c r="C410" s="523"/>
    </row>
    <row r="411" spans="3:3" ht="15" customHeight="1">
      <c r="C411" s="523"/>
    </row>
    <row r="412" spans="3:3" ht="15" customHeight="1">
      <c r="C412" s="523"/>
    </row>
    <row r="413" spans="3:3" ht="15" customHeight="1">
      <c r="C413" s="523"/>
    </row>
    <row r="414" spans="3:3" ht="15" customHeight="1">
      <c r="C414" s="523"/>
    </row>
    <row r="415" spans="3:3" ht="15" customHeight="1">
      <c r="C415" s="523"/>
    </row>
    <row r="416" spans="3:3" ht="15" customHeight="1">
      <c r="C416" s="523"/>
    </row>
    <row r="417" spans="3:3" ht="15" customHeight="1">
      <c r="C417" s="523"/>
    </row>
    <row r="418" spans="3:3" ht="15" customHeight="1">
      <c r="C418" s="523"/>
    </row>
    <row r="419" spans="3:3" ht="15" customHeight="1">
      <c r="C419" s="523"/>
    </row>
    <row r="420" spans="3:3" ht="15" customHeight="1">
      <c r="C420" s="523"/>
    </row>
    <row r="421" spans="3:3" ht="15" customHeight="1">
      <c r="C421" s="523"/>
    </row>
    <row r="422" spans="3:3" ht="15" customHeight="1">
      <c r="C422" s="523"/>
    </row>
    <row r="423" spans="3:3" ht="15" customHeight="1">
      <c r="C423" s="523"/>
    </row>
    <row r="424" spans="3:3" ht="15" customHeight="1">
      <c r="C424" s="523"/>
    </row>
    <row r="425" spans="3:3" ht="15" customHeight="1">
      <c r="C425" s="523"/>
    </row>
    <row r="426" spans="3:3" ht="15" customHeight="1">
      <c r="C426" s="523"/>
    </row>
    <row r="427" spans="3:3" ht="15" customHeight="1">
      <c r="C427" s="523"/>
    </row>
    <row r="428" spans="3:3" ht="15" customHeight="1">
      <c r="C428" s="523"/>
    </row>
    <row r="429" spans="3:3" ht="15" customHeight="1">
      <c r="C429" s="523"/>
    </row>
    <row r="430" spans="3:3" ht="15" customHeight="1">
      <c r="C430" s="523"/>
    </row>
    <row r="431" spans="3:3" ht="15" customHeight="1">
      <c r="C431" s="523"/>
    </row>
    <row r="432" spans="3:3" ht="15" customHeight="1">
      <c r="C432" s="523"/>
    </row>
    <row r="433" spans="3:3" ht="15" customHeight="1">
      <c r="C433" s="523"/>
    </row>
    <row r="434" spans="3:3" ht="15" customHeight="1">
      <c r="C434" s="523"/>
    </row>
    <row r="435" spans="3:3" ht="15" customHeight="1">
      <c r="C435" s="523"/>
    </row>
    <row r="436" spans="3:3" ht="15" customHeight="1">
      <c r="C436" s="523"/>
    </row>
    <row r="437" spans="3:3" ht="15" customHeight="1">
      <c r="C437" s="523"/>
    </row>
    <row r="438" spans="3:3" ht="15" customHeight="1">
      <c r="C438" s="523"/>
    </row>
    <row r="439" spans="3:3" ht="15" customHeight="1">
      <c r="C439" s="523"/>
    </row>
    <row r="440" spans="3:3" ht="15" customHeight="1">
      <c r="C440" s="523"/>
    </row>
    <row r="441" spans="3:3" ht="15" customHeight="1">
      <c r="C441" s="523"/>
    </row>
    <row r="442" spans="3:3" ht="15" customHeight="1">
      <c r="C442" s="523"/>
    </row>
    <row r="443" spans="3:3" ht="15" customHeight="1">
      <c r="C443" s="523"/>
    </row>
    <row r="444" spans="3:3" ht="15" customHeight="1">
      <c r="C444" s="523"/>
    </row>
    <row r="445" spans="3:3" ht="15" customHeight="1">
      <c r="C445" s="523"/>
    </row>
    <row r="446" spans="3:3" ht="15" customHeight="1">
      <c r="C446" s="523"/>
    </row>
    <row r="447" spans="3:3" ht="15" customHeight="1">
      <c r="C447" s="523"/>
    </row>
    <row r="448" spans="3:3" ht="15" customHeight="1">
      <c r="C448" s="523"/>
    </row>
    <row r="449" spans="3:3" ht="15" customHeight="1">
      <c r="C449" s="523"/>
    </row>
    <row r="450" spans="3:3" ht="15" customHeight="1">
      <c r="C450" s="523"/>
    </row>
    <row r="451" spans="3:3" ht="15" customHeight="1">
      <c r="C451" s="523"/>
    </row>
    <row r="452" spans="3:3" ht="15" customHeight="1">
      <c r="C452" s="523"/>
    </row>
    <row r="453" spans="3:3" ht="15" customHeight="1">
      <c r="C453" s="523"/>
    </row>
    <row r="454" spans="3:3" ht="15" customHeight="1">
      <c r="C454" s="523"/>
    </row>
    <row r="455" spans="3:3" ht="15" customHeight="1">
      <c r="C455" s="523"/>
    </row>
    <row r="456" spans="3:3" ht="15" customHeight="1">
      <c r="C456" s="523"/>
    </row>
    <row r="457" spans="3:3" ht="15" customHeight="1">
      <c r="C457" s="523"/>
    </row>
    <row r="458" spans="3:3" ht="15" customHeight="1">
      <c r="C458" s="523"/>
    </row>
    <row r="459" spans="3:3" ht="15" customHeight="1">
      <c r="C459" s="523"/>
    </row>
    <row r="460" spans="3:3" ht="15" customHeight="1">
      <c r="C460" s="523"/>
    </row>
    <row r="461" spans="3:3" ht="15" customHeight="1">
      <c r="C461" s="523"/>
    </row>
    <row r="462" spans="3:3" ht="15" customHeight="1">
      <c r="C462" s="523"/>
    </row>
    <row r="463" spans="3:3" ht="15" customHeight="1">
      <c r="C463" s="523"/>
    </row>
    <row r="464" spans="3:3" ht="15" customHeight="1">
      <c r="C464" s="523"/>
    </row>
    <row r="465" spans="3:3" ht="15" customHeight="1">
      <c r="C465" s="523"/>
    </row>
    <row r="466" spans="3:3" ht="15" customHeight="1">
      <c r="C466" s="523"/>
    </row>
    <row r="467" spans="3:3" ht="15" customHeight="1">
      <c r="C467" s="523"/>
    </row>
    <row r="468" spans="3:3" ht="15" customHeight="1">
      <c r="C468" s="523"/>
    </row>
    <row r="469" spans="3:3" ht="15" customHeight="1">
      <c r="C469" s="523"/>
    </row>
    <row r="470" spans="3:3" ht="15" customHeight="1">
      <c r="C470" s="523"/>
    </row>
    <row r="471" spans="3:3" ht="15" customHeight="1">
      <c r="C471" s="523"/>
    </row>
    <row r="472" spans="3:3" ht="15" customHeight="1">
      <c r="C472" s="523"/>
    </row>
    <row r="473" spans="3:3" ht="15" customHeight="1">
      <c r="C473" s="523"/>
    </row>
    <row r="474" spans="3:3" ht="15" customHeight="1">
      <c r="C474" s="523"/>
    </row>
    <row r="475" spans="3:3" ht="15" customHeight="1">
      <c r="C475" s="523"/>
    </row>
    <row r="476" spans="3:3" ht="15" customHeight="1">
      <c r="C476" s="523"/>
    </row>
    <row r="477" spans="3:3" ht="15" customHeight="1">
      <c r="C477" s="523"/>
    </row>
    <row r="478" spans="3:3" ht="15" customHeight="1">
      <c r="C478" s="523"/>
    </row>
    <row r="479" spans="3:3" ht="15" customHeight="1">
      <c r="C479" s="523"/>
    </row>
    <row r="480" spans="3:3" ht="15" customHeight="1">
      <c r="C480" s="523"/>
    </row>
    <row r="481" spans="3:3" ht="15" customHeight="1">
      <c r="C481" s="523"/>
    </row>
    <row r="482" spans="3:3" ht="15" customHeight="1">
      <c r="C482" s="523"/>
    </row>
    <row r="483" spans="3:3" ht="15" customHeight="1">
      <c r="C483" s="523"/>
    </row>
    <row r="484" spans="3:3" ht="15" customHeight="1">
      <c r="C484" s="523"/>
    </row>
    <row r="485" spans="3:3" ht="15" customHeight="1">
      <c r="C485" s="523"/>
    </row>
    <row r="486" spans="3:3" ht="15" customHeight="1">
      <c r="C486" s="523"/>
    </row>
    <row r="487" spans="3:3" ht="15" customHeight="1">
      <c r="C487" s="523"/>
    </row>
    <row r="488" spans="3:3" ht="15" customHeight="1">
      <c r="C488" s="523"/>
    </row>
    <row r="489" spans="3:3" ht="15" customHeight="1">
      <c r="C489" s="523"/>
    </row>
    <row r="490" spans="3:3" ht="15" customHeight="1">
      <c r="C490" s="523"/>
    </row>
    <row r="491" spans="3:3" ht="15" customHeight="1">
      <c r="C491" s="523"/>
    </row>
    <row r="492" spans="3:3" ht="15" customHeight="1">
      <c r="C492" s="523"/>
    </row>
    <row r="493" spans="3:3" ht="15" customHeight="1">
      <c r="C493" s="523"/>
    </row>
    <row r="494" spans="3:3" ht="15" customHeight="1">
      <c r="C494" s="523"/>
    </row>
    <row r="495" spans="3:3" ht="15" customHeight="1">
      <c r="C495" s="523"/>
    </row>
    <row r="496" spans="3:3" ht="15" customHeight="1">
      <c r="C496" s="523"/>
    </row>
    <row r="497" spans="3:3" ht="15" customHeight="1">
      <c r="C497" s="523"/>
    </row>
    <row r="498" spans="3:3" ht="15" customHeight="1">
      <c r="C498" s="523"/>
    </row>
    <row r="499" spans="3:3" ht="15" customHeight="1">
      <c r="C499" s="523"/>
    </row>
    <row r="500" spans="3:3" ht="15" customHeight="1">
      <c r="C500" s="523"/>
    </row>
    <row r="501" spans="3:3" ht="15" customHeight="1">
      <c r="C501" s="523"/>
    </row>
    <row r="502" spans="3:3" ht="15" customHeight="1">
      <c r="C502" s="523"/>
    </row>
    <row r="503" spans="3:3" ht="15" customHeight="1">
      <c r="C503" s="523"/>
    </row>
    <row r="504" spans="3:3" ht="15" customHeight="1">
      <c r="C504" s="523"/>
    </row>
    <row r="505" spans="3:3" ht="15" customHeight="1">
      <c r="C505" s="523"/>
    </row>
    <row r="506" spans="3:3" ht="15" customHeight="1">
      <c r="C506" s="523"/>
    </row>
    <row r="507" spans="3:3" ht="15" customHeight="1">
      <c r="C507" s="523"/>
    </row>
    <row r="508" spans="3:3" ht="15" customHeight="1">
      <c r="C508" s="523"/>
    </row>
    <row r="509" spans="3:3" ht="15" customHeight="1">
      <c r="C509" s="523"/>
    </row>
    <row r="510" spans="3:3" ht="15" customHeight="1">
      <c r="C510" s="523"/>
    </row>
    <row r="511" spans="3:3" ht="15" customHeight="1">
      <c r="C511" s="523"/>
    </row>
    <row r="512" spans="3:3" ht="15" customHeight="1">
      <c r="C512" s="523"/>
    </row>
    <row r="513" spans="3:3" ht="15" customHeight="1">
      <c r="C513" s="523"/>
    </row>
    <row r="514" spans="3:3" ht="15" customHeight="1">
      <c r="C514" s="523"/>
    </row>
    <row r="515" spans="3:3" ht="15" customHeight="1">
      <c r="C515" s="523"/>
    </row>
    <row r="516" spans="3:3" ht="15" customHeight="1">
      <c r="C516" s="523"/>
    </row>
    <row r="517" spans="3:3" ht="15" customHeight="1">
      <c r="C517" s="523"/>
    </row>
    <row r="518" spans="3:3" ht="15" customHeight="1">
      <c r="C518" s="523"/>
    </row>
    <row r="519" spans="3:3" ht="15" customHeight="1">
      <c r="C519" s="523"/>
    </row>
    <row r="520" spans="3:3" ht="15" customHeight="1">
      <c r="C520" s="523"/>
    </row>
    <row r="521" spans="3:3" ht="15" customHeight="1">
      <c r="C521" s="523"/>
    </row>
    <row r="522" spans="3:3" ht="15" customHeight="1">
      <c r="C522" s="523"/>
    </row>
    <row r="523" spans="3:3" ht="15" customHeight="1">
      <c r="C523" s="523"/>
    </row>
    <row r="524" spans="3:3" ht="15" customHeight="1">
      <c r="C524" s="523"/>
    </row>
    <row r="525" spans="3:3" ht="15" customHeight="1">
      <c r="C525" s="523"/>
    </row>
    <row r="526" spans="3:3" ht="15" customHeight="1">
      <c r="C526" s="523"/>
    </row>
    <row r="527" spans="3:3" ht="15" customHeight="1">
      <c r="C527" s="523"/>
    </row>
    <row r="528" spans="3:3" ht="15" customHeight="1">
      <c r="C528" s="523"/>
    </row>
    <row r="529" spans="3:3" ht="15" customHeight="1">
      <c r="C529" s="523"/>
    </row>
    <row r="530" spans="3:3" ht="15" customHeight="1">
      <c r="C530" s="523"/>
    </row>
    <row r="531" spans="3:3" ht="15" customHeight="1">
      <c r="C531" s="523"/>
    </row>
    <row r="532" spans="3:3" ht="15" customHeight="1">
      <c r="C532" s="523"/>
    </row>
    <row r="533" spans="3:3" ht="15" customHeight="1">
      <c r="C533" s="523"/>
    </row>
    <row r="534" spans="3:3" ht="15" customHeight="1">
      <c r="C534" s="523"/>
    </row>
    <row r="535" spans="3:3" ht="15" customHeight="1">
      <c r="C535" s="523"/>
    </row>
    <row r="536" spans="3:3" ht="15" customHeight="1">
      <c r="C536" s="523"/>
    </row>
    <row r="537" spans="3:3" ht="15" customHeight="1">
      <c r="C537" s="523"/>
    </row>
    <row r="538" spans="3:3" ht="15" customHeight="1">
      <c r="C538" s="523"/>
    </row>
    <row r="539" spans="3:3" ht="15" customHeight="1">
      <c r="C539" s="523"/>
    </row>
    <row r="540" spans="3:3" ht="15" customHeight="1">
      <c r="C540" s="523"/>
    </row>
    <row r="541" spans="3:3" ht="15" customHeight="1">
      <c r="C541" s="523"/>
    </row>
    <row r="542" spans="3:3" ht="15" customHeight="1">
      <c r="C542" s="523"/>
    </row>
    <row r="543" spans="3:3" ht="15" customHeight="1">
      <c r="C543" s="523"/>
    </row>
    <row r="544" spans="3:3" ht="15" customHeight="1">
      <c r="C544" s="523"/>
    </row>
    <row r="545" spans="3:3" ht="15" customHeight="1">
      <c r="C545" s="523"/>
    </row>
    <row r="546" spans="3:3" ht="15" customHeight="1">
      <c r="C546" s="523"/>
    </row>
    <row r="547" spans="3:3" ht="15" customHeight="1">
      <c r="C547" s="523"/>
    </row>
    <row r="548" spans="3:3" ht="15" customHeight="1">
      <c r="C548" s="523"/>
    </row>
    <row r="549" spans="3:3" ht="15" customHeight="1">
      <c r="C549" s="523"/>
    </row>
    <row r="550" spans="3:3" ht="15" customHeight="1">
      <c r="C550" s="523"/>
    </row>
    <row r="551" spans="3:3" ht="15" customHeight="1">
      <c r="C551" s="523"/>
    </row>
    <row r="552" spans="3:3" ht="15" customHeight="1">
      <c r="C552" s="523"/>
    </row>
    <row r="553" spans="3:3" ht="15" customHeight="1">
      <c r="C553" s="523"/>
    </row>
    <row r="554" spans="3:3" ht="15" customHeight="1">
      <c r="C554" s="523"/>
    </row>
    <row r="555" spans="3:3" ht="15" customHeight="1">
      <c r="C555" s="523"/>
    </row>
    <row r="556" spans="3:3" ht="15" customHeight="1">
      <c r="C556" s="523"/>
    </row>
    <row r="557" spans="3:3" ht="15" customHeight="1">
      <c r="C557" s="523"/>
    </row>
    <row r="558" spans="3:3" ht="15" customHeight="1">
      <c r="C558" s="523"/>
    </row>
    <row r="559" spans="3:3" ht="15" customHeight="1">
      <c r="C559" s="523"/>
    </row>
    <row r="560" spans="3:3" ht="15" customHeight="1">
      <c r="C560" s="523"/>
    </row>
    <row r="561" spans="3:3" ht="15" customHeight="1">
      <c r="C561" s="523"/>
    </row>
    <row r="562" spans="3:3" ht="15" customHeight="1">
      <c r="C562" s="523"/>
    </row>
    <row r="563" spans="3:3" ht="15" customHeight="1">
      <c r="C563" s="523"/>
    </row>
    <row r="564" spans="3:3" ht="15" customHeight="1">
      <c r="C564" s="523"/>
    </row>
    <row r="565" spans="3:3" ht="15" customHeight="1">
      <c r="C565" s="523"/>
    </row>
    <row r="566" spans="3:3" ht="15" customHeight="1">
      <c r="C566" s="523"/>
    </row>
    <row r="567" spans="3:3" ht="15" customHeight="1">
      <c r="C567" s="523"/>
    </row>
    <row r="568" spans="3:3" ht="15" customHeight="1">
      <c r="C568" s="523"/>
    </row>
    <row r="569" spans="3:3" ht="15" customHeight="1">
      <c r="C569" s="523"/>
    </row>
    <row r="570" spans="3:3" ht="15" customHeight="1">
      <c r="C570" s="523"/>
    </row>
    <row r="571" spans="3:3" ht="15" customHeight="1">
      <c r="C571" s="523"/>
    </row>
    <row r="572" spans="3:3" ht="15" customHeight="1">
      <c r="C572" s="523"/>
    </row>
    <row r="573" spans="3:3" ht="15" customHeight="1">
      <c r="C573" s="523"/>
    </row>
    <row r="574" spans="3:3" ht="15" customHeight="1">
      <c r="C574" s="523"/>
    </row>
    <row r="575" spans="3:3" ht="15" customHeight="1">
      <c r="C575" s="523"/>
    </row>
    <row r="576" spans="3:3" ht="15" customHeight="1">
      <c r="C576" s="523"/>
    </row>
    <row r="577" spans="3:3" ht="15" customHeight="1">
      <c r="C577" s="523"/>
    </row>
    <row r="578" spans="3:3" ht="15" customHeight="1">
      <c r="C578" s="523"/>
    </row>
    <row r="579" spans="3:3" ht="15" customHeight="1">
      <c r="C579" s="523"/>
    </row>
    <row r="580" spans="3:3" ht="15" customHeight="1">
      <c r="C580" s="523"/>
    </row>
    <row r="581" spans="3:3" ht="15" customHeight="1">
      <c r="C581" s="523"/>
    </row>
    <row r="582" spans="3:3" ht="15" customHeight="1">
      <c r="C582" s="523"/>
    </row>
    <row r="583" spans="3:3" ht="15" customHeight="1">
      <c r="C583" s="523"/>
    </row>
    <row r="584" spans="3:3" ht="15" customHeight="1">
      <c r="C584" s="523"/>
    </row>
    <row r="585" spans="3:3" ht="15" customHeight="1">
      <c r="C585" s="523"/>
    </row>
    <row r="586" spans="3:3" ht="15" customHeight="1">
      <c r="C586" s="523"/>
    </row>
    <row r="587" spans="3:3" ht="15" customHeight="1">
      <c r="C587" s="523"/>
    </row>
    <row r="588" spans="3:3" ht="15" customHeight="1">
      <c r="C588" s="523"/>
    </row>
    <row r="589" spans="3:3" ht="15" customHeight="1">
      <c r="C589" s="523"/>
    </row>
    <row r="590" spans="3:3" ht="15" customHeight="1">
      <c r="C590" s="523"/>
    </row>
    <row r="591" spans="3:3" ht="15" customHeight="1">
      <c r="C591" s="523"/>
    </row>
    <row r="592" spans="3:3" ht="15" customHeight="1">
      <c r="C592" s="523"/>
    </row>
    <row r="593" spans="3:3" ht="15" customHeight="1">
      <c r="C593" s="523"/>
    </row>
    <row r="594" spans="3:3" ht="15" customHeight="1">
      <c r="C594" s="523"/>
    </row>
    <row r="595" spans="3:3" ht="15" customHeight="1">
      <c r="C595" s="523"/>
    </row>
    <row r="596" spans="3:3" ht="15" customHeight="1">
      <c r="C596" s="523"/>
    </row>
    <row r="597" spans="3:3" ht="15" customHeight="1">
      <c r="C597" s="523"/>
    </row>
    <row r="598" spans="3:3" ht="15" customHeight="1">
      <c r="C598" s="523"/>
    </row>
    <row r="599" spans="3:3" ht="15" customHeight="1">
      <c r="C599" s="523"/>
    </row>
    <row r="600" spans="3:3" ht="15" customHeight="1">
      <c r="C600" s="523"/>
    </row>
    <row r="601" spans="3:3" ht="15" customHeight="1">
      <c r="C601" s="523"/>
    </row>
    <row r="602" spans="3:3" ht="15" customHeight="1">
      <c r="C602" s="523"/>
    </row>
    <row r="603" spans="3:3" ht="15" customHeight="1">
      <c r="C603" s="523"/>
    </row>
    <row r="604" spans="3:3" ht="15" customHeight="1">
      <c r="C604" s="523"/>
    </row>
    <row r="605" spans="3:3" ht="15" customHeight="1">
      <c r="C605" s="523"/>
    </row>
    <row r="606" spans="3:3" ht="15" customHeight="1">
      <c r="C606" s="523"/>
    </row>
    <row r="607" spans="3:3" ht="15" customHeight="1">
      <c r="C607" s="523"/>
    </row>
    <row r="608" spans="3:3" ht="15" customHeight="1">
      <c r="C608" s="523"/>
    </row>
    <row r="609" spans="3:3" ht="15" customHeight="1">
      <c r="C609" s="523"/>
    </row>
    <row r="610" spans="3:3" ht="15" customHeight="1">
      <c r="C610" s="523"/>
    </row>
    <row r="611" spans="3:3" ht="15" customHeight="1">
      <c r="C611" s="523"/>
    </row>
    <row r="612" spans="3:3" ht="15" customHeight="1">
      <c r="C612" s="523"/>
    </row>
    <row r="613" spans="3:3" ht="15" customHeight="1">
      <c r="C613" s="523"/>
    </row>
    <row r="614" spans="3:3" ht="15" customHeight="1">
      <c r="C614" s="523"/>
    </row>
    <row r="615" spans="3:3" ht="15" customHeight="1">
      <c r="C615" s="523"/>
    </row>
    <row r="616" spans="3:3" ht="15" customHeight="1">
      <c r="C616" s="523"/>
    </row>
    <row r="617" spans="3:3" ht="15" customHeight="1">
      <c r="C617" s="523"/>
    </row>
    <row r="618" spans="3:3" ht="15" customHeight="1">
      <c r="C618" s="523"/>
    </row>
    <row r="619" spans="3:3" ht="15" customHeight="1">
      <c r="C619" s="523"/>
    </row>
    <row r="620" spans="3:3" ht="15" customHeight="1">
      <c r="C620" s="523"/>
    </row>
    <row r="621" spans="3:3" ht="15" customHeight="1">
      <c r="C621" s="523"/>
    </row>
    <row r="622" spans="3:3" ht="15" customHeight="1">
      <c r="C622" s="523"/>
    </row>
    <row r="623" spans="3:3" ht="15" customHeight="1">
      <c r="C623" s="523"/>
    </row>
    <row r="624" spans="3:3" ht="15" customHeight="1">
      <c r="C624" s="523"/>
    </row>
    <row r="625" spans="3:3" ht="15" customHeight="1">
      <c r="C625" s="523"/>
    </row>
    <row r="626" spans="3:3" ht="15" customHeight="1">
      <c r="C626" s="523"/>
    </row>
    <row r="627" spans="3:3" ht="15" customHeight="1">
      <c r="C627" s="523"/>
    </row>
    <row r="628" spans="3:3" ht="15" customHeight="1">
      <c r="C628" s="523"/>
    </row>
    <row r="629" spans="3:3" ht="15" customHeight="1">
      <c r="C629" s="523"/>
    </row>
    <row r="630" spans="3:3" ht="15" customHeight="1">
      <c r="C630" s="523"/>
    </row>
    <row r="631" spans="3:3" ht="15" customHeight="1">
      <c r="C631" s="523"/>
    </row>
    <row r="632" spans="3:3" ht="15" customHeight="1">
      <c r="C632" s="523"/>
    </row>
    <row r="633" spans="3:3" ht="15" customHeight="1">
      <c r="C633" s="523"/>
    </row>
    <row r="634" spans="3:3" ht="15" customHeight="1">
      <c r="C634" s="523"/>
    </row>
    <row r="635" spans="3:3" ht="15" customHeight="1">
      <c r="C635" s="523"/>
    </row>
    <row r="636" spans="3:3" ht="15" customHeight="1">
      <c r="C636" s="523"/>
    </row>
    <row r="637" spans="3:3" ht="15" customHeight="1">
      <c r="C637" s="523"/>
    </row>
    <row r="638" spans="3:3" ht="15" customHeight="1">
      <c r="C638" s="523"/>
    </row>
    <row r="639" spans="3:3" ht="15" customHeight="1">
      <c r="C639" s="523"/>
    </row>
    <row r="640" spans="3:3" ht="15" customHeight="1">
      <c r="C640" s="523"/>
    </row>
    <row r="641" spans="3:3" ht="15" customHeight="1">
      <c r="C641" s="523"/>
    </row>
    <row r="642" spans="3:3" ht="15" customHeight="1">
      <c r="C642" s="523"/>
    </row>
    <row r="643" spans="3:3" ht="15" customHeight="1">
      <c r="C643" s="523"/>
    </row>
    <row r="644" spans="3:3" ht="15" customHeight="1">
      <c r="C644" s="523"/>
    </row>
    <row r="645" spans="3:3" ht="15" customHeight="1">
      <c r="C645" s="523"/>
    </row>
    <row r="646" spans="3:3" ht="15" customHeight="1">
      <c r="C646" s="523"/>
    </row>
    <row r="647" spans="3:3" ht="15" customHeight="1">
      <c r="C647" s="523"/>
    </row>
    <row r="648" spans="3:3" ht="15" customHeight="1">
      <c r="C648" s="523"/>
    </row>
    <row r="649" spans="3:3" ht="15" customHeight="1">
      <c r="C649" s="523"/>
    </row>
    <row r="650" spans="3:3" ht="15" customHeight="1">
      <c r="C650" s="523"/>
    </row>
    <row r="651" spans="3:3" ht="15" customHeight="1">
      <c r="C651" s="523"/>
    </row>
    <row r="652" spans="3:3" ht="15" customHeight="1">
      <c r="C652" s="523"/>
    </row>
    <row r="653" spans="3:3" ht="15" customHeight="1">
      <c r="C653" s="523"/>
    </row>
    <row r="654" spans="3:3" ht="15" customHeight="1">
      <c r="C654" s="523"/>
    </row>
    <row r="655" spans="3:3" ht="15" customHeight="1">
      <c r="C655" s="523"/>
    </row>
    <row r="656" spans="3:3" ht="15" customHeight="1">
      <c r="C656" s="523"/>
    </row>
    <row r="657" spans="3:3" ht="15" customHeight="1">
      <c r="C657" s="523"/>
    </row>
    <row r="658" spans="3:3" ht="15" customHeight="1">
      <c r="C658" s="523"/>
    </row>
    <row r="659" spans="3:3" ht="15" customHeight="1">
      <c r="C659" s="523"/>
    </row>
    <row r="660" spans="3:3" ht="15" customHeight="1">
      <c r="C660" s="523"/>
    </row>
    <row r="661" spans="3:3" ht="15" customHeight="1">
      <c r="C661" s="523"/>
    </row>
    <row r="662" spans="3:3" ht="15" customHeight="1">
      <c r="C662" s="523"/>
    </row>
    <row r="663" spans="3:3" ht="15" customHeight="1">
      <c r="C663" s="523"/>
    </row>
    <row r="664" spans="3:3" ht="15" customHeight="1">
      <c r="C664" s="523"/>
    </row>
    <row r="665" spans="3:3" ht="15" customHeight="1">
      <c r="C665" s="523"/>
    </row>
    <row r="666" spans="3:3" ht="15" customHeight="1">
      <c r="C666" s="523"/>
    </row>
    <row r="667" spans="3:3" ht="15" customHeight="1">
      <c r="C667" s="523"/>
    </row>
    <row r="668" spans="3:3" ht="15" customHeight="1">
      <c r="C668" s="523"/>
    </row>
    <row r="669" spans="3:3" ht="15" customHeight="1">
      <c r="C669" s="523"/>
    </row>
    <row r="670" spans="3:3" ht="15" customHeight="1">
      <c r="C670" s="523"/>
    </row>
    <row r="671" spans="3:3" ht="15" customHeight="1">
      <c r="C671" s="523"/>
    </row>
    <row r="672" spans="3:3" ht="15" customHeight="1">
      <c r="C672" s="523"/>
    </row>
    <row r="673" spans="3:3" ht="15" customHeight="1">
      <c r="C673" s="523"/>
    </row>
    <row r="674" spans="3:3" ht="15" customHeight="1">
      <c r="C674" s="523"/>
    </row>
    <row r="675" spans="3:3" ht="15" customHeight="1">
      <c r="C675" s="523"/>
    </row>
    <row r="676" spans="3:3" ht="15" customHeight="1">
      <c r="C676" s="523"/>
    </row>
    <row r="677" spans="3:3" ht="15" customHeight="1">
      <c r="C677" s="523"/>
    </row>
    <row r="678" spans="3:3" ht="15" customHeight="1">
      <c r="C678" s="523"/>
    </row>
    <row r="679" spans="3:3" ht="15" customHeight="1">
      <c r="C679" s="523"/>
    </row>
    <row r="680" spans="3:3" ht="15" customHeight="1">
      <c r="C680" s="523"/>
    </row>
    <row r="681" spans="3:3" ht="15" customHeight="1">
      <c r="C681" s="523"/>
    </row>
    <row r="682" spans="3:3" ht="15" customHeight="1">
      <c r="C682" s="523"/>
    </row>
    <row r="683" spans="3:3" ht="15" customHeight="1">
      <c r="C683" s="523"/>
    </row>
    <row r="684" spans="3:3" ht="15" customHeight="1">
      <c r="C684" s="523"/>
    </row>
    <row r="685" spans="3:3" ht="15" customHeight="1">
      <c r="C685" s="523"/>
    </row>
    <row r="686" spans="3:3" ht="15" customHeight="1">
      <c r="C686" s="523"/>
    </row>
    <row r="687" spans="3:3" ht="15" customHeight="1">
      <c r="C687" s="523"/>
    </row>
    <row r="688" spans="3:3" ht="15" customHeight="1">
      <c r="C688" s="523"/>
    </row>
    <row r="689" spans="3:3" ht="15" customHeight="1">
      <c r="C689" s="523"/>
    </row>
    <row r="690" spans="3:3" ht="15" customHeight="1">
      <c r="C690" s="523"/>
    </row>
    <row r="691" spans="3:3" ht="15" customHeight="1">
      <c r="C691" s="523"/>
    </row>
    <row r="692" spans="3:3" ht="15" customHeight="1">
      <c r="C692" s="523"/>
    </row>
    <row r="693" spans="3:3" ht="15" customHeight="1">
      <c r="C693" s="523"/>
    </row>
    <row r="694" spans="3:3" ht="15" customHeight="1">
      <c r="C694" s="523"/>
    </row>
    <row r="695" spans="3:3" ht="15" customHeight="1">
      <c r="C695" s="523"/>
    </row>
    <row r="696" spans="3:3" ht="15" customHeight="1">
      <c r="C696" s="523"/>
    </row>
    <row r="697" spans="3:3" ht="15" customHeight="1">
      <c r="C697" s="523"/>
    </row>
    <row r="698" spans="3:3" ht="15" customHeight="1">
      <c r="C698" s="523"/>
    </row>
    <row r="699" spans="3:3" ht="15" customHeight="1">
      <c r="C699" s="523"/>
    </row>
    <row r="700" spans="3:3" ht="15" customHeight="1">
      <c r="C700" s="523"/>
    </row>
    <row r="701" spans="3:3" ht="15" customHeight="1">
      <c r="C701" s="523"/>
    </row>
    <row r="702" spans="3:3" ht="15" customHeight="1">
      <c r="C702" s="523"/>
    </row>
    <row r="703" spans="3:3" ht="15" customHeight="1">
      <c r="C703" s="523"/>
    </row>
    <row r="704" spans="3:3" ht="15" customHeight="1">
      <c r="C704" s="523"/>
    </row>
    <row r="705" spans="3:3" ht="15" customHeight="1">
      <c r="C705" s="523"/>
    </row>
    <row r="706" spans="3:3" ht="15" customHeight="1">
      <c r="C706" s="523"/>
    </row>
    <row r="707" spans="3:3" ht="15" customHeight="1">
      <c r="C707" s="523"/>
    </row>
    <row r="708" spans="3:3" ht="15" customHeight="1">
      <c r="C708" s="523"/>
    </row>
    <row r="709" spans="3:3" ht="15" customHeight="1">
      <c r="C709" s="523"/>
    </row>
    <row r="710" spans="3:3" ht="15" customHeight="1">
      <c r="C710" s="523"/>
    </row>
    <row r="711" spans="3:3" ht="15" customHeight="1">
      <c r="C711" s="523"/>
    </row>
    <row r="712" spans="3:3" ht="15" customHeight="1">
      <c r="C712" s="523"/>
    </row>
    <row r="713" spans="3:3" ht="15" customHeight="1">
      <c r="C713" s="523"/>
    </row>
    <row r="714" spans="3:3" ht="15" customHeight="1">
      <c r="C714" s="523"/>
    </row>
    <row r="715" spans="3:3" ht="15" customHeight="1">
      <c r="C715" s="523"/>
    </row>
    <row r="716" spans="3:3" ht="15" customHeight="1">
      <c r="C716" s="523"/>
    </row>
    <row r="717" spans="3:3" ht="15" customHeight="1">
      <c r="C717" s="523"/>
    </row>
    <row r="718" spans="3:3" ht="15" customHeight="1">
      <c r="C718" s="523"/>
    </row>
    <row r="719" spans="3:3" ht="15" customHeight="1">
      <c r="C719" s="523"/>
    </row>
    <row r="720" spans="3:3" ht="15" customHeight="1">
      <c r="C720" s="523"/>
    </row>
    <row r="721" spans="3:3" ht="15" customHeight="1">
      <c r="C721" s="523"/>
    </row>
    <row r="722" spans="3:3" ht="15" customHeight="1">
      <c r="C722" s="523"/>
    </row>
    <row r="723" spans="3:3" ht="15" customHeight="1">
      <c r="C723" s="523"/>
    </row>
    <row r="724" spans="3:3" ht="15" customHeight="1">
      <c r="C724" s="523"/>
    </row>
    <row r="725" spans="3:3" ht="15" customHeight="1">
      <c r="C725" s="523"/>
    </row>
    <row r="726" spans="3:3" ht="15" customHeight="1">
      <c r="C726" s="523"/>
    </row>
    <row r="727" spans="3:3" ht="15" customHeight="1">
      <c r="C727" s="523"/>
    </row>
    <row r="728" spans="3:3" ht="15" customHeight="1">
      <c r="C728" s="523"/>
    </row>
    <row r="729" spans="3:3" ht="15" customHeight="1">
      <c r="C729" s="523"/>
    </row>
    <row r="730" spans="3:3" ht="15" customHeight="1">
      <c r="C730" s="523"/>
    </row>
    <row r="731" spans="3:3" ht="15" customHeight="1">
      <c r="C731" s="523"/>
    </row>
    <row r="732" spans="3:3" ht="15" customHeight="1">
      <c r="C732" s="523"/>
    </row>
    <row r="733" spans="3:3" ht="15" customHeight="1">
      <c r="C733" s="523"/>
    </row>
    <row r="734" spans="3:3" ht="15" customHeight="1">
      <c r="C734" s="523"/>
    </row>
    <row r="735" spans="3:3" ht="15" customHeight="1">
      <c r="C735" s="523"/>
    </row>
    <row r="736" spans="3:3" ht="15" customHeight="1">
      <c r="C736" s="523"/>
    </row>
    <row r="737" spans="3:3" ht="15" customHeight="1">
      <c r="C737" s="523"/>
    </row>
    <row r="738" spans="3:3" ht="15" customHeight="1">
      <c r="C738" s="523"/>
    </row>
    <row r="739" spans="3:3" ht="15" customHeight="1">
      <c r="C739" s="523"/>
    </row>
    <row r="740" spans="3:3" ht="15" customHeight="1">
      <c r="C740" s="523"/>
    </row>
    <row r="741" spans="3:3" ht="15" customHeight="1">
      <c r="C741" s="523"/>
    </row>
    <row r="742" spans="3:3" ht="15" customHeight="1">
      <c r="C742" s="523"/>
    </row>
    <row r="743" spans="3:3" ht="15" customHeight="1">
      <c r="C743" s="523"/>
    </row>
    <row r="744" spans="3:3" ht="15" customHeight="1">
      <c r="C744" s="523"/>
    </row>
    <row r="745" spans="3:3" ht="15" customHeight="1">
      <c r="C745" s="523"/>
    </row>
    <row r="746" spans="3:3" ht="15" customHeight="1">
      <c r="C746" s="523"/>
    </row>
    <row r="747" spans="3:3" ht="15" customHeight="1">
      <c r="C747" s="523"/>
    </row>
    <row r="748" spans="3:3" ht="15" customHeight="1">
      <c r="C748" s="523"/>
    </row>
    <row r="749" spans="3:3" ht="15" customHeight="1">
      <c r="C749" s="523"/>
    </row>
    <row r="750" spans="3:3" ht="15" customHeight="1">
      <c r="C750" s="523"/>
    </row>
    <row r="751" spans="3:3" ht="15" customHeight="1">
      <c r="C751" s="523"/>
    </row>
    <row r="752" spans="3:3" ht="15" customHeight="1">
      <c r="C752" s="523"/>
    </row>
    <row r="753" spans="3:3" ht="15" customHeight="1">
      <c r="C753" s="523"/>
    </row>
    <row r="754" spans="3:3" ht="15" customHeight="1">
      <c r="C754" s="523"/>
    </row>
    <row r="755" spans="3:3" ht="15" customHeight="1">
      <c r="C755" s="523"/>
    </row>
    <row r="756" spans="3:3" ht="15" customHeight="1">
      <c r="C756" s="523"/>
    </row>
    <row r="757" spans="3:3" ht="15" customHeight="1">
      <c r="C757" s="523"/>
    </row>
    <row r="758" spans="3:3" ht="15" customHeight="1">
      <c r="C758" s="523"/>
    </row>
    <row r="759" spans="3:3" ht="15" customHeight="1">
      <c r="C759" s="523"/>
    </row>
    <row r="760" spans="3:3" ht="15" customHeight="1">
      <c r="C760" s="523"/>
    </row>
    <row r="761" spans="3:3" ht="15" customHeight="1">
      <c r="C761" s="523"/>
    </row>
    <row r="762" spans="3:3" ht="15" customHeight="1">
      <c r="C762" s="523"/>
    </row>
    <row r="763" spans="3:3" ht="15" customHeight="1">
      <c r="C763" s="523"/>
    </row>
    <row r="764" spans="3:3" ht="15" customHeight="1">
      <c r="C764" s="523"/>
    </row>
    <row r="765" spans="3:3" ht="15" customHeight="1">
      <c r="C765" s="523"/>
    </row>
    <row r="766" spans="3:3" ht="15" customHeight="1">
      <c r="C766" s="523"/>
    </row>
    <row r="767" spans="3:3" ht="15" customHeight="1">
      <c r="C767" s="523"/>
    </row>
    <row r="768" spans="3:3" ht="15" customHeight="1">
      <c r="C768" s="523"/>
    </row>
    <row r="769" spans="3:3" ht="15" customHeight="1">
      <c r="C769" s="523"/>
    </row>
    <row r="770" spans="3:3" ht="15" customHeight="1">
      <c r="C770" s="523"/>
    </row>
    <row r="771" spans="3:3" ht="15" customHeight="1">
      <c r="C771" s="523"/>
    </row>
    <row r="772" spans="3:3" ht="15" customHeight="1">
      <c r="C772" s="523"/>
    </row>
    <row r="773" spans="3:3" ht="15" customHeight="1">
      <c r="C773" s="523"/>
    </row>
    <row r="774" spans="3:3" ht="15" customHeight="1">
      <c r="C774" s="523"/>
    </row>
    <row r="775" spans="3:3" ht="15" customHeight="1">
      <c r="C775" s="523"/>
    </row>
    <row r="776" spans="3:3" ht="15" customHeight="1">
      <c r="C776" s="523"/>
    </row>
    <row r="777" spans="3:3" ht="15" customHeight="1">
      <c r="C777" s="523"/>
    </row>
    <row r="778" spans="3:3" ht="15" customHeight="1">
      <c r="C778" s="523"/>
    </row>
    <row r="779" spans="3:3" ht="15" customHeight="1">
      <c r="C779" s="523"/>
    </row>
    <row r="780" spans="3:3" ht="15" customHeight="1">
      <c r="C780" s="523"/>
    </row>
    <row r="781" spans="3:3" ht="15" customHeight="1">
      <c r="C781" s="523"/>
    </row>
    <row r="782" spans="3:3" ht="15" customHeight="1">
      <c r="C782" s="523"/>
    </row>
    <row r="783" spans="3:3" ht="15" customHeight="1">
      <c r="C783" s="523"/>
    </row>
    <row r="784" spans="3:3" ht="15" customHeight="1">
      <c r="C784" s="523"/>
    </row>
    <row r="785" spans="3:3" ht="15" customHeight="1">
      <c r="C785" s="523"/>
    </row>
    <row r="786" spans="3:3" ht="15" customHeight="1">
      <c r="C786" s="523"/>
    </row>
    <row r="787" spans="3:3" ht="15" customHeight="1">
      <c r="C787" s="523"/>
    </row>
    <row r="788" spans="3:3" ht="15" customHeight="1">
      <c r="C788" s="523"/>
    </row>
    <row r="789" spans="3:3" ht="15" customHeight="1">
      <c r="C789" s="523"/>
    </row>
    <row r="790" spans="3:3" ht="15" customHeight="1">
      <c r="C790" s="523"/>
    </row>
    <row r="791" spans="3:3" ht="15" customHeight="1">
      <c r="C791" s="523"/>
    </row>
    <row r="792" spans="3:3" ht="15" customHeight="1">
      <c r="C792" s="523"/>
    </row>
    <row r="793" spans="3:3" ht="15" customHeight="1">
      <c r="C793" s="523"/>
    </row>
    <row r="794" spans="3:3" ht="15" customHeight="1">
      <c r="C794" s="523"/>
    </row>
    <row r="795" spans="3:3" ht="15" customHeight="1">
      <c r="C795" s="523"/>
    </row>
    <row r="796" spans="3:3" ht="15" customHeight="1">
      <c r="C796" s="523"/>
    </row>
    <row r="797" spans="3:3" ht="15" customHeight="1">
      <c r="C797" s="523"/>
    </row>
    <row r="798" spans="3:3" ht="15" customHeight="1">
      <c r="C798" s="523"/>
    </row>
    <row r="799" spans="3:3" ht="15" customHeight="1">
      <c r="C799" s="523"/>
    </row>
    <row r="800" spans="3:3" ht="15" customHeight="1">
      <c r="C800" s="523"/>
    </row>
    <row r="801" spans="3:3" ht="15" customHeight="1">
      <c r="C801" s="523"/>
    </row>
    <row r="802" spans="3:3" ht="15" customHeight="1">
      <c r="C802" s="523"/>
    </row>
    <row r="803" spans="3:3" ht="15" customHeight="1">
      <c r="C803" s="523"/>
    </row>
    <row r="804" spans="3:3" ht="15" customHeight="1">
      <c r="C804" s="523"/>
    </row>
    <row r="805" spans="3:3" ht="15" customHeight="1">
      <c r="C805" s="523"/>
    </row>
    <row r="806" spans="3:3" ht="15" customHeight="1">
      <c r="C806" s="523"/>
    </row>
    <row r="807" spans="3:3" ht="15" customHeight="1">
      <c r="C807" s="523"/>
    </row>
    <row r="808" spans="3:3" ht="15" customHeight="1">
      <c r="C808" s="523"/>
    </row>
    <row r="809" spans="3:3" ht="15" customHeight="1">
      <c r="C809" s="523"/>
    </row>
    <row r="810" spans="3:3" ht="15" customHeight="1">
      <c r="C810" s="523"/>
    </row>
    <row r="811" spans="3:3" ht="15" customHeight="1">
      <c r="C811" s="523"/>
    </row>
    <row r="812" spans="3:3" ht="15" customHeight="1">
      <c r="C812" s="523"/>
    </row>
    <row r="813" spans="3:3" ht="15" customHeight="1">
      <c r="C813" s="523"/>
    </row>
    <row r="814" spans="3:3" ht="15" customHeight="1">
      <c r="C814" s="523"/>
    </row>
    <row r="815" spans="3:3" ht="15" customHeight="1">
      <c r="C815" s="523"/>
    </row>
    <row r="816" spans="3:3" ht="15" customHeight="1">
      <c r="C816" s="523"/>
    </row>
    <row r="817" spans="3:3" ht="15" customHeight="1">
      <c r="C817" s="523"/>
    </row>
    <row r="818" spans="3:3" ht="15" customHeight="1">
      <c r="C818" s="523"/>
    </row>
    <row r="819" spans="3:3" ht="15" customHeight="1">
      <c r="C819" s="523"/>
    </row>
    <row r="820" spans="3:3" ht="15" customHeight="1">
      <c r="C820" s="523"/>
    </row>
    <row r="821" spans="3:3" ht="15" customHeight="1">
      <c r="C821" s="523"/>
    </row>
    <row r="822" spans="3:3" ht="15" customHeight="1">
      <c r="C822" s="523"/>
    </row>
    <row r="823" spans="3:3" ht="15" customHeight="1">
      <c r="C823" s="523"/>
    </row>
    <row r="824" spans="3:3" ht="15" customHeight="1">
      <c r="C824" s="523"/>
    </row>
    <row r="825" spans="3:3" ht="15" customHeight="1">
      <c r="C825" s="523"/>
    </row>
    <row r="826" spans="3:3" ht="15" customHeight="1">
      <c r="C826" s="523"/>
    </row>
    <row r="827" spans="3:3" ht="15" customHeight="1">
      <c r="C827" s="523"/>
    </row>
    <row r="828" spans="3:3" ht="15" customHeight="1">
      <c r="C828" s="523"/>
    </row>
    <row r="829" spans="3:3" ht="15" customHeight="1">
      <c r="C829" s="523"/>
    </row>
    <row r="830" spans="3:3" ht="15" customHeight="1">
      <c r="C830" s="523"/>
    </row>
    <row r="831" spans="3:3" ht="15" customHeight="1">
      <c r="C831" s="523"/>
    </row>
    <row r="832" spans="3:3" ht="15" customHeight="1">
      <c r="C832" s="523"/>
    </row>
    <row r="833" spans="3:3" ht="15" customHeight="1">
      <c r="C833" s="523"/>
    </row>
    <row r="834" spans="3:3" ht="15" customHeight="1">
      <c r="C834" s="523"/>
    </row>
    <row r="835" spans="3:3" ht="15" customHeight="1">
      <c r="C835" s="523"/>
    </row>
    <row r="836" spans="3:3" ht="15" customHeight="1">
      <c r="C836" s="523"/>
    </row>
    <row r="837" spans="3:3" ht="15" customHeight="1">
      <c r="C837" s="523"/>
    </row>
    <row r="838" spans="3:3" ht="15" customHeight="1">
      <c r="C838" s="523"/>
    </row>
    <row r="839" spans="3:3" ht="15" customHeight="1">
      <c r="C839" s="523"/>
    </row>
    <row r="840" spans="3:3" ht="15" customHeight="1">
      <c r="C840" s="523"/>
    </row>
    <row r="841" spans="3:3" ht="15" customHeight="1">
      <c r="C841" s="523"/>
    </row>
    <row r="842" spans="3:3" ht="15" customHeight="1">
      <c r="C842" s="523"/>
    </row>
    <row r="843" spans="3:3" ht="15" customHeight="1">
      <c r="C843" s="523"/>
    </row>
    <row r="844" spans="3:3" ht="15" customHeight="1">
      <c r="C844" s="523"/>
    </row>
    <row r="845" spans="3:3" ht="15" customHeight="1">
      <c r="C845" s="523"/>
    </row>
    <row r="846" spans="3:3" ht="15" customHeight="1">
      <c r="C846" s="523"/>
    </row>
    <row r="847" spans="3:3" ht="15" customHeight="1">
      <c r="C847" s="523"/>
    </row>
    <row r="848" spans="3:3" ht="15" customHeight="1">
      <c r="C848" s="523"/>
    </row>
    <row r="849" spans="3:3" ht="15" customHeight="1">
      <c r="C849" s="523"/>
    </row>
    <row r="850" spans="3:3" ht="15" customHeight="1">
      <c r="C850" s="523"/>
    </row>
    <row r="851" spans="3:3" ht="15" customHeight="1">
      <c r="C851" s="523"/>
    </row>
    <row r="852" spans="3:3" ht="15" customHeight="1">
      <c r="C852" s="523"/>
    </row>
    <row r="853" spans="3:3" ht="15" customHeight="1">
      <c r="C853" s="523"/>
    </row>
    <row r="854" spans="3:3" ht="15" customHeight="1">
      <c r="C854" s="523"/>
    </row>
    <row r="855" spans="3:3" ht="15" customHeight="1">
      <c r="C855" s="523"/>
    </row>
    <row r="856" spans="3:3" ht="15" customHeight="1">
      <c r="C856" s="523"/>
    </row>
    <row r="857" spans="3:3" ht="15" customHeight="1">
      <c r="C857" s="523"/>
    </row>
    <row r="858" spans="3:3" ht="15" customHeight="1">
      <c r="C858" s="523"/>
    </row>
    <row r="859" spans="3:3" ht="15" customHeight="1">
      <c r="C859" s="523"/>
    </row>
    <row r="860" spans="3:3" ht="15" customHeight="1">
      <c r="C860" s="523"/>
    </row>
    <row r="861" spans="3:3" ht="15" customHeight="1">
      <c r="C861" s="523"/>
    </row>
    <row r="862" spans="3:3" ht="15" customHeight="1">
      <c r="C862" s="523"/>
    </row>
    <row r="863" spans="3:3" ht="15" customHeight="1">
      <c r="C863" s="523"/>
    </row>
    <row r="864" spans="3:3" ht="15" customHeight="1">
      <c r="C864" s="523"/>
    </row>
    <row r="865" spans="3:3" ht="15" customHeight="1">
      <c r="C865" s="523"/>
    </row>
    <row r="866" spans="3:3" ht="15" customHeight="1">
      <c r="C866" s="523"/>
    </row>
    <row r="867" spans="3:3" ht="15" customHeight="1">
      <c r="C867" s="523"/>
    </row>
    <row r="868" spans="3:3" ht="15" customHeight="1">
      <c r="C868" s="523"/>
    </row>
    <row r="869" spans="3:3" ht="15" customHeight="1">
      <c r="C869" s="523"/>
    </row>
    <row r="870" spans="3:3" ht="15" customHeight="1">
      <c r="C870" s="523"/>
    </row>
    <row r="871" spans="3:3" ht="15" customHeight="1">
      <c r="C871" s="523"/>
    </row>
    <row r="872" spans="3:3" ht="15" customHeight="1">
      <c r="C872" s="523"/>
    </row>
    <row r="873" spans="3:3" ht="15" customHeight="1">
      <c r="C873" s="523"/>
    </row>
    <row r="874" spans="3:3" ht="15" customHeight="1">
      <c r="C874" s="523"/>
    </row>
    <row r="875" spans="3:3" ht="15" customHeight="1">
      <c r="C875" s="523"/>
    </row>
    <row r="876" spans="3:3" ht="15" customHeight="1">
      <c r="C876" s="523"/>
    </row>
    <row r="877" spans="3:3" ht="15" customHeight="1">
      <c r="C877" s="523"/>
    </row>
    <row r="878" spans="3:3" ht="15" customHeight="1">
      <c r="C878" s="523"/>
    </row>
    <row r="879" spans="3:3" ht="15" customHeight="1">
      <c r="C879" s="523"/>
    </row>
    <row r="880" spans="3:3" ht="15" customHeight="1">
      <c r="C880" s="523"/>
    </row>
    <row r="881" spans="3:3" ht="15" customHeight="1">
      <c r="C881" s="523"/>
    </row>
    <row r="882" spans="3:3" ht="15" customHeight="1">
      <c r="C882" s="523"/>
    </row>
    <row r="883" spans="3:3" ht="15" customHeight="1">
      <c r="C883" s="523"/>
    </row>
    <row r="884" spans="3:3" ht="15" customHeight="1">
      <c r="C884" s="523"/>
    </row>
    <row r="885" spans="3:3" ht="15" customHeight="1">
      <c r="C885" s="523"/>
    </row>
    <row r="886" spans="3:3" ht="15" customHeight="1">
      <c r="C886" s="523"/>
    </row>
    <row r="887" spans="3:3" ht="15" customHeight="1">
      <c r="C887" s="523"/>
    </row>
    <row r="888" spans="3:3" ht="15" customHeight="1">
      <c r="C888" s="523"/>
    </row>
    <row r="889" spans="3:3" ht="15" customHeight="1">
      <c r="C889" s="523"/>
    </row>
    <row r="890" spans="3:3" ht="15" customHeight="1">
      <c r="C890" s="523"/>
    </row>
    <row r="891" spans="3:3" ht="15" customHeight="1">
      <c r="C891" s="523"/>
    </row>
    <row r="892" spans="3:3" ht="15" customHeight="1">
      <c r="C892" s="523"/>
    </row>
    <row r="893" spans="3:3" ht="15" customHeight="1">
      <c r="C893" s="523"/>
    </row>
    <row r="894" spans="3:3" ht="15" customHeight="1">
      <c r="C894" s="523"/>
    </row>
    <row r="895" spans="3:3" ht="15" customHeight="1">
      <c r="C895" s="523"/>
    </row>
    <row r="896" spans="3:3" ht="15" customHeight="1">
      <c r="C896" s="523"/>
    </row>
    <row r="897" spans="3:3" ht="15" customHeight="1">
      <c r="C897" s="523"/>
    </row>
    <row r="898" spans="3:3" ht="15" customHeight="1">
      <c r="C898" s="523"/>
    </row>
    <row r="899" spans="3:3" ht="15" customHeight="1">
      <c r="C899" s="523"/>
    </row>
    <row r="900" spans="3:3" ht="15" customHeight="1">
      <c r="C900" s="523"/>
    </row>
    <row r="901" spans="3:3" ht="15" customHeight="1">
      <c r="C901" s="523"/>
    </row>
    <row r="902" spans="3:3" ht="15" customHeight="1">
      <c r="C902" s="523"/>
    </row>
    <row r="903" spans="3:3" ht="15" customHeight="1">
      <c r="C903" s="523"/>
    </row>
    <row r="904" spans="3:3" ht="15" customHeight="1">
      <c r="C904" s="523"/>
    </row>
    <row r="905" spans="3:3" ht="15" customHeight="1">
      <c r="C905" s="523"/>
    </row>
    <row r="906" spans="3:3" ht="15" customHeight="1">
      <c r="C906" s="523"/>
    </row>
    <row r="907" spans="3:3" ht="15" customHeight="1">
      <c r="C907" s="523"/>
    </row>
    <row r="908" spans="3:3" ht="15" customHeight="1">
      <c r="C908" s="523"/>
    </row>
    <row r="909" spans="3:3" ht="15" customHeight="1">
      <c r="C909" s="523"/>
    </row>
    <row r="910" spans="3:3" ht="15" customHeight="1">
      <c r="C910" s="523"/>
    </row>
    <row r="911" spans="3:3" ht="15" customHeight="1">
      <c r="C911" s="523"/>
    </row>
    <row r="912" spans="3:3" ht="15" customHeight="1">
      <c r="C912" s="523"/>
    </row>
    <row r="913" spans="3:3" ht="15" customHeight="1">
      <c r="C913" s="523"/>
    </row>
    <row r="914" spans="3:3" ht="15" customHeight="1">
      <c r="C914" s="523"/>
    </row>
    <row r="915" spans="3:3" ht="15" customHeight="1">
      <c r="C915" s="523"/>
    </row>
    <row r="916" spans="3:3" ht="15" customHeight="1">
      <c r="C916" s="523"/>
    </row>
    <row r="917" spans="3:3" ht="15" customHeight="1">
      <c r="C917" s="523"/>
    </row>
    <row r="918" spans="3:3" ht="15" customHeight="1">
      <c r="C918" s="523"/>
    </row>
    <row r="919" spans="3:3" ht="15" customHeight="1">
      <c r="C919" s="523"/>
    </row>
    <row r="920" spans="3:3" ht="15" customHeight="1">
      <c r="C920" s="523"/>
    </row>
    <row r="921" spans="3:3" ht="15" customHeight="1">
      <c r="C921" s="523"/>
    </row>
    <row r="922" spans="3:3" ht="15" customHeight="1">
      <c r="C922" s="523"/>
    </row>
    <row r="923" spans="3:3" ht="15" customHeight="1">
      <c r="C923" s="523"/>
    </row>
    <row r="924" spans="3:3" ht="15" customHeight="1">
      <c r="C924" s="523"/>
    </row>
    <row r="925" spans="3:3" ht="15" customHeight="1">
      <c r="C925" s="523"/>
    </row>
    <row r="926" spans="3:3" ht="15" customHeight="1">
      <c r="C926" s="523"/>
    </row>
    <row r="927" spans="3:3" ht="15" customHeight="1">
      <c r="C927" s="523"/>
    </row>
    <row r="928" spans="3:3" ht="15" customHeight="1">
      <c r="C928" s="523"/>
    </row>
    <row r="929" spans="3:3" ht="15" customHeight="1">
      <c r="C929" s="523"/>
    </row>
    <row r="930" spans="3:3" ht="15" customHeight="1">
      <c r="C930" s="523"/>
    </row>
    <row r="931" spans="3:3" ht="15" customHeight="1">
      <c r="C931" s="523"/>
    </row>
    <row r="932" spans="3:3" ht="15" customHeight="1">
      <c r="C932" s="523"/>
    </row>
    <row r="933" spans="3:3" ht="15" customHeight="1">
      <c r="C933" s="523"/>
    </row>
    <row r="934" spans="3:3" ht="15" customHeight="1">
      <c r="C934" s="523"/>
    </row>
    <row r="935" spans="3:3" ht="15" customHeight="1">
      <c r="C935" s="523"/>
    </row>
    <row r="936" spans="3:3" ht="15" customHeight="1">
      <c r="C936" s="523"/>
    </row>
  </sheetData>
  <mergeCells count="4">
    <mergeCell ref="B2:L2"/>
    <mergeCell ref="B3:L3"/>
    <mergeCell ref="B4:L4"/>
    <mergeCell ref="B6:L6"/>
  </mergeCells>
  <hyperlinks>
    <hyperlink ref="A1" location="'TABLE OF CONTENTS'!A1" display="INDEX" xr:uid="{FFDDC6CA-4AA4-48F5-803D-94618A8ADB59}"/>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FC127-05F5-43B5-A5C8-1E9BFD7F3445}">
  <sheetPr codeName="Sheet35">
    <tabColor rgb="FF00B0F0"/>
  </sheetPr>
  <dimension ref="A1:N46"/>
  <sheetViews>
    <sheetView showGridLines="0" view="pageBreakPreview" zoomScale="60" zoomScaleNormal="100" workbookViewId="0">
      <selection activeCell="F37" sqref="F37"/>
    </sheetView>
  </sheetViews>
  <sheetFormatPr defaultColWidth="9.140625" defaultRowHeight="15.75"/>
  <cols>
    <col min="1" max="2" width="9.140625" style="524"/>
    <col min="3" max="3" width="29.85546875" style="524" customWidth="1"/>
    <col min="4" max="4" width="27.5703125" style="524" customWidth="1"/>
    <col min="5" max="5" width="17.85546875" style="524" customWidth="1"/>
    <col min="6" max="6" width="20" style="524" customWidth="1"/>
    <col min="7" max="7" width="33.42578125" style="524" customWidth="1"/>
    <col min="8" max="8" width="20.7109375" style="524" customWidth="1"/>
    <col min="9" max="9" width="25.5703125" style="524" customWidth="1"/>
    <col min="10" max="10" width="35.42578125" style="524" customWidth="1"/>
    <col min="11" max="16384" width="9.140625" style="524"/>
  </cols>
  <sheetData>
    <row r="1" spans="1:14">
      <c r="A1" s="59" t="s">
        <v>1650</v>
      </c>
      <c r="C1" s="524" t="s">
        <v>1074</v>
      </c>
    </row>
    <row r="2" spans="1:14">
      <c r="E2" s="545"/>
      <c r="I2" s="1202">
        <v>250507</v>
      </c>
    </row>
    <row r="3" spans="1:14">
      <c r="E3" s="544"/>
      <c r="F3" s="544"/>
      <c r="G3" s="544"/>
      <c r="H3" s="544"/>
      <c r="I3" s="544"/>
      <c r="J3" s="544"/>
      <c r="K3" s="544"/>
      <c r="L3" s="544"/>
      <c r="M3" s="544"/>
      <c r="N3" s="544"/>
    </row>
    <row r="4" spans="1:14">
      <c r="C4" s="524" t="s">
        <v>7</v>
      </c>
      <c r="D4" s="543">
        <v>45778</v>
      </c>
      <c r="E4" s="530"/>
      <c r="F4" s="530">
        <f>D4</f>
        <v>45778</v>
      </c>
    </row>
    <row r="5" spans="1:14">
      <c r="C5" s="524" t="s">
        <v>128</v>
      </c>
    </row>
    <row r="6" spans="1:14">
      <c r="C6" s="863" t="str">
        <f>_xlfn.XLOOKUP($I$2,CD!F9:F41,CD!J9:J41,0)</f>
        <v xml:space="preserve">S-1000 Sysco </v>
      </c>
      <c r="D6" s="524">
        <f>MATCH(C6,CTRL_V[ID],0)</f>
        <v>9</v>
      </c>
      <c r="E6" s="542"/>
      <c r="F6" s="539" t="str">
        <f>MID(C6,7,45)</f>
        <v xml:space="preserve"> Sysco </v>
      </c>
      <c r="G6" s="542"/>
      <c r="H6" s="527"/>
      <c r="I6" s="529">
        <f>F17</f>
        <v>5968.77</v>
      </c>
    </row>
    <row r="7" spans="1:14">
      <c r="C7" s="532" t="s">
        <v>657</v>
      </c>
      <c r="F7" s="553" t="str" cm="1">
        <f t="array" ref="F7">INDEX(CTRL_V[ADDRESS 1],$D$6,0)</f>
        <v>12800 Henry Ruff Rd,</v>
      </c>
      <c r="G7" s="538" t="s">
        <v>0</v>
      </c>
      <c r="H7" s="526"/>
    </row>
    <row r="8" spans="1:14">
      <c r="C8" s="532" t="s">
        <v>656</v>
      </c>
      <c r="F8" s="539" t="s">
        <v>660</v>
      </c>
      <c r="G8" s="538" t="s">
        <v>0</v>
      </c>
      <c r="H8" s="526"/>
    </row>
    <row r="9" spans="1:14">
      <c r="C9" s="532" t="s">
        <v>655</v>
      </c>
      <c r="F9" s="539" t="s">
        <v>28</v>
      </c>
      <c r="G9" s="538" t="s">
        <v>0</v>
      </c>
      <c r="H9" s="541" t="s">
        <v>0</v>
      </c>
      <c r="I9" s="540" t="s">
        <v>0</v>
      </c>
    </row>
    <row r="10" spans="1:14">
      <c r="C10" s="532" t="s">
        <v>211</v>
      </c>
      <c r="F10" s="539" t="s">
        <v>661</v>
      </c>
      <c r="G10" s="538" t="s">
        <v>0</v>
      </c>
      <c r="H10" s="537"/>
      <c r="I10" s="537"/>
    </row>
    <row r="11" spans="1:14">
      <c r="C11" s="532"/>
      <c r="E11" s="524" t="s">
        <v>654</v>
      </c>
      <c r="F11" s="536" t="s">
        <v>260</v>
      </c>
      <c r="G11" s="527" t="s">
        <v>356</v>
      </c>
      <c r="H11" s="535" t="s">
        <v>422</v>
      </c>
      <c r="I11" s="535" t="s">
        <v>653</v>
      </c>
    </row>
    <row r="12" spans="1:14">
      <c r="B12" s="532">
        <v>1</v>
      </c>
      <c r="C12" s="534" t="str">
        <f>CONCATENATE(I2,"-",B12)</f>
        <v>250507-1</v>
      </c>
      <c r="E12" s="524">
        <f>_xlfn.LET(_xlpm.result, _xlfn.XLOOKUP(C12, CD!H8:H41, CD!E8:E41, 0), IF(_xlpm.result=0, "", _xlpm.result))</f>
        <v>78291</v>
      </c>
      <c r="F12" s="533">
        <f>_xlfn.LET(_xlpm.result, _xlfn.XLOOKUP(C12, CD!H9:H42, CD!L9:L42, 0), IF(_xlpm.result=0, "", _xlpm.result*-1))</f>
        <v>2850.75</v>
      </c>
      <c r="G12" s="554" t="str">
        <f>_xlfn.XLOOKUP(C12,CD!H9:H42,CD!N9:N42, 0)</f>
        <v>5500 Cost of Sales</v>
      </c>
      <c r="H12" s="533" t="str">
        <f>_xlfn.LET(_xlpm.result, _xlfn.XLOOKUP(C12, CD!H9:H42, CD!O9:O42, 0), IF(_xlpm.result=0, "", _xlpm.result))</f>
        <v/>
      </c>
      <c r="I12" s="533">
        <f>_xlfn.LET(_xlpm.result, _xlfn.XLOOKUP(C12, CD!H9:H42, CD!P9:P42, 0), IF(_xlpm.result=0, "", _xlpm.result))</f>
        <v>2850.75</v>
      </c>
    </row>
    <row r="13" spans="1:14">
      <c r="B13" s="532">
        <v>2</v>
      </c>
      <c r="C13" s="527" t="str">
        <f>CONCATENATE($I$2,"-",B13)</f>
        <v>250507-2</v>
      </c>
      <c r="E13" s="524">
        <f>_xlfn.LET(_xlpm.result, _xlfn.XLOOKUP(C13, CD!H9:H42, CD!E9:E42, 0), IF(_xlpm.result=0, "", _xlpm.result))</f>
        <v>78536</v>
      </c>
      <c r="F13" s="533">
        <f>_xlfn.LET(_xlpm.result, _xlfn.XLOOKUP(C13, CD!H10:H43, CD!L10:L43, 0), IF(_xlpm.result=0, "", _xlpm.result*-1))</f>
        <v>3275.42</v>
      </c>
      <c r="G13" s="554" t="str">
        <f>_xlfn.XLOOKUP(C13,CD!H10:H43,CD!N10:N43, 0)</f>
        <v>5500 Cost of Sales</v>
      </c>
      <c r="H13" s="533" t="str">
        <f>_xlfn.LET(_xlpm.result, _xlfn.XLOOKUP(C13, CD!H10:H43, CD!O10:O43, 0), IF(_xlpm.result=0, "", _xlpm.result))</f>
        <v/>
      </c>
      <c r="I13" s="533">
        <f>_xlfn.LET(_xlpm.result, _xlfn.XLOOKUP(C13, CD!H10:H43, CD!P10:P43, 0), IF(_xlpm.result=0, "", _xlpm.result))</f>
        <v>3275.42</v>
      </c>
    </row>
    <row r="14" spans="1:14">
      <c r="B14" s="532">
        <v>3</v>
      </c>
      <c r="C14" s="527" t="str">
        <f>CONCATENATE($I$2,"-",B14)</f>
        <v>250507-3</v>
      </c>
      <c r="E14" s="524">
        <f>_xlfn.LET(_xlpm.result, _xlfn.XLOOKUP(C14, CD!H10:H43, CD!E10:E43, 0), IF(_xlpm.result=0, "", _xlpm.result))</f>
        <v>77342</v>
      </c>
      <c r="F14" s="533">
        <f>_xlfn.LET(_xlpm.result, _xlfn.XLOOKUP(C14, CD!H11:H44, CD!L11:L44, 0), IF(_xlpm.result=0, "", _xlpm.result*-1))</f>
        <v>-157.4</v>
      </c>
      <c r="G14" s="554" t="str">
        <f>_xlfn.XLOOKUP(C14,CD!H11:H44,CD!N11:N44, 0)</f>
        <v>5500 Cost of Sales</v>
      </c>
      <c r="H14" s="533" t="str">
        <f>_xlfn.LET(_xlpm.result, _xlfn.XLOOKUP(C14, CD!H11:H44, CD!O11:O44, 0), IF(_xlpm.result=0, "", _xlpm.result))</f>
        <v/>
      </c>
      <c r="I14" s="533">
        <f>_xlfn.LET(_xlpm.result, _xlfn.XLOOKUP(C14, CD!H11:H44, CD!P11:P44, 0), IF(_xlpm.result=0, "", _xlpm.result))</f>
        <v>-157.4</v>
      </c>
    </row>
    <row r="15" spans="1:14">
      <c r="B15" s="532">
        <v>4</v>
      </c>
      <c r="C15" s="527" t="str">
        <f>CONCATENATE($I$2,"-",B15)</f>
        <v>250507-4</v>
      </c>
      <c r="E15" s="524" t="str">
        <f>_xlfn.LET(_xlpm.result, _xlfn.XLOOKUP(C15, CD!H11:H44, CD!E11:E44, 0), IF(_xlpm.result=0, "", _xlpm.result))</f>
        <v/>
      </c>
      <c r="F15" s="533" t="str">
        <f>_xlfn.LET(_xlpm.result, _xlfn.XLOOKUP(C15, CD!H12:H45, CD!L12:L45, 0), IF(_xlpm.result=0, "", _xlpm.result*-1))</f>
        <v/>
      </c>
      <c r="G15" s="524" t="s">
        <v>28</v>
      </c>
      <c r="H15" s="524" t="s">
        <v>28</v>
      </c>
      <c r="I15" s="524" t="s">
        <v>28</v>
      </c>
    </row>
    <row r="16" spans="1:14">
      <c r="B16" s="532">
        <v>5</v>
      </c>
      <c r="C16" s="527" t="str">
        <f>CONCATENATE($I$2,"-",B16)</f>
        <v>250507-5</v>
      </c>
      <c r="E16" s="524" t="str">
        <f>_xlfn.LET(_xlpm.result, _xlfn.XLOOKUP(C16, CD!H12:H45, CD!E12:E45, 0), IF(_xlpm.result=0, "", _xlpm.result))</f>
        <v/>
      </c>
      <c r="F16" s="533" t="str">
        <f>_xlfn.LET(_xlpm.result, _xlfn.XLOOKUP(C16, CD!H13:H46, CD!L13:L46, 0), IF(_xlpm.result=0, "", _xlpm.result*-1))</f>
        <v/>
      </c>
      <c r="G16" s="524" t="s">
        <v>28</v>
      </c>
      <c r="H16" s="524" t="s">
        <v>28</v>
      </c>
      <c r="I16" s="524" t="s">
        <v>28</v>
      </c>
    </row>
    <row r="17" spans="4:10" ht="21.75" customHeight="1">
      <c r="F17" s="531">
        <f>SUM(F12:F16)</f>
        <v>5968.77</v>
      </c>
    </row>
    <row r="18" spans="4:10" ht="21.75" customHeight="1">
      <c r="F18" s="531"/>
    </row>
    <row r="19" spans="4:10" ht="23.25" customHeight="1">
      <c r="F19" s="525"/>
      <c r="G19" s="525"/>
      <c r="H19" s="525"/>
      <c r="I19" s="525"/>
      <c r="J19" s="525"/>
    </row>
    <row r="20" spans="4:10" ht="41.25" customHeight="1"/>
    <row r="21" spans="4:10" ht="41.25" customHeight="1"/>
    <row r="22" spans="4:10" ht="38.25" customHeight="1">
      <c r="D22" s="524" t="s">
        <v>0</v>
      </c>
      <c r="H22" s="530" t="s">
        <v>0</v>
      </c>
      <c r="I22" s="530">
        <f>F4</f>
        <v>45778</v>
      </c>
    </row>
    <row r="24" spans="4:10">
      <c r="F24" s="673" t="e" cm="1">
        <f t="array" aca="1" ref="F24" ca="1">NumberToWords(I24)</f>
        <v>#NAME?</v>
      </c>
      <c r="H24" s="524" t="s">
        <v>0</v>
      </c>
      <c r="I24" s="529">
        <f>F17</f>
        <v>5968.77</v>
      </c>
    </row>
    <row r="25" spans="4:10" ht="32.25" customHeight="1"/>
    <row r="26" spans="4:10">
      <c r="F26" s="1313" t="str">
        <f>F6</f>
        <v xml:space="preserve"> Sysco </v>
      </c>
      <c r="G26" s="1313"/>
    </row>
    <row r="27" spans="4:10">
      <c r="F27" s="1313" t="str">
        <f>F7</f>
        <v>12800 Henry Ruff Rd,</v>
      </c>
      <c r="G27" s="1313"/>
    </row>
    <row r="28" spans="4:10">
      <c r="F28" s="1313" t="str">
        <f>F8</f>
        <v>ANY CITY</v>
      </c>
      <c r="G28" s="1313"/>
    </row>
    <row r="29" spans="4:10">
      <c r="F29" s="1313" t="str">
        <f>F10</f>
        <v>BNS 1B1</v>
      </c>
      <c r="G29" s="1313"/>
    </row>
    <row r="31" spans="4:10" ht="98.25" customHeight="1"/>
    <row r="33" spans="5:9">
      <c r="F33" s="1313" t="str">
        <f>F6</f>
        <v xml:space="preserve"> Sysco </v>
      </c>
      <c r="G33" s="1313"/>
      <c r="I33" s="530">
        <f>F4</f>
        <v>45778</v>
      </c>
    </row>
    <row r="34" spans="5:9">
      <c r="F34" s="1313" t="str">
        <f>F7</f>
        <v>12800 Henry Ruff Rd,</v>
      </c>
      <c r="G34" s="1313"/>
      <c r="H34" s="526"/>
    </row>
    <row r="35" spans="5:9">
      <c r="F35" s="1313" t="str">
        <f>F8</f>
        <v>ANY CITY</v>
      </c>
      <c r="G35" s="1313"/>
      <c r="H35" s="526"/>
      <c r="I35" s="529">
        <f>F17</f>
        <v>5968.77</v>
      </c>
    </row>
    <row r="36" spans="5:9">
      <c r="F36" s="1313" t="s">
        <v>0</v>
      </c>
      <c r="G36" s="1313"/>
      <c r="H36" s="526"/>
    </row>
    <row r="37" spans="5:9">
      <c r="F37" s="527" t="str">
        <f>F10</f>
        <v>BNS 1B1</v>
      </c>
      <c r="G37" s="527"/>
      <c r="H37" s="526"/>
    </row>
    <row r="38" spans="5:9">
      <c r="F38" s="527"/>
      <c r="G38" s="527"/>
      <c r="H38" s="526"/>
    </row>
    <row r="39" spans="5:9">
      <c r="E39" s="524">
        <f t="shared" ref="E39:F43" si="0">E12</f>
        <v>78291</v>
      </c>
      <c r="F39" s="528">
        <f t="shared" si="0"/>
        <v>2850.75</v>
      </c>
      <c r="G39" s="527"/>
      <c r="H39" s="526"/>
    </row>
    <row r="40" spans="5:9">
      <c r="E40" s="524">
        <f t="shared" si="0"/>
        <v>78536</v>
      </c>
      <c r="F40" s="528">
        <f t="shared" si="0"/>
        <v>3275.42</v>
      </c>
      <c r="G40" s="527"/>
      <c r="H40" s="526"/>
    </row>
    <row r="41" spans="5:9">
      <c r="E41" s="524">
        <f t="shared" si="0"/>
        <v>77342</v>
      </c>
      <c r="F41" s="528">
        <f t="shared" si="0"/>
        <v>-157.4</v>
      </c>
      <c r="G41" s="527"/>
      <c r="H41" s="526"/>
    </row>
    <row r="42" spans="5:9">
      <c r="E42" s="524" t="str">
        <f t="shared" si="0"/>
        <v/>
      </c>
      <c r="F42" s="528" t="str">
        <f t="shared" si="0"/>
        <v/>
      </c>
      <c r="G42" s="527"/>
      <c r="H42" s="526"/>
    </row>
    <row r="43" spans="5:9">
      <c r="E43" s="524" t="str">
        <f t="shared" si="0"/>
        <v/>
      </c>
      <c r="F43" s="528" t="str">
        <f t="shared" si="0"/>
        <v/>
      </c>
      <c r="G43" s="527"/>
      <c r="H43" s="526"/>
    </row>
    <row r="44" spans="5:9">
      <c r="F44" s="528"/>
      <c r="G44" s="527"/>
      <c r="H44" s="526"/>
    </row>
    <row r="45" spans="5:9">
      <c r="E45" s="524" t="str">
        <f>E15</f>
        <v/>
      </c>
      <c r="F45" s="528">
        <f>SUM(F39:F44)</f>
        <v>5968.77</v>
      </c>
      <c r="G45" s="527"/>
      <c r="H45" s="526"/>
    </row>
    <row r="46" spans="5:9" ht="126.95" customHeight="1">
      <c r="F46" s="1314"/>
      <c r="G46" s="1314"/>
      <c r="H46" s="1314"/>
      <c r="I46" s="1314"/>
    </row>
  </sheetData>
  <protectedRanges>
    <protectedRange sqref="I2" name="Range1"/>
  </protectedRanges>
  <mergeCells count="9">
    <mergeCell ref="F26:G26"/>
    <mergeCell ref="F27:G27"/>
    <mergeCell ref="F36:G36"/>
    <mergeCell ref="F46:I46"/>
    <mergeCell ref="F28:G28"/>
    <mergeCell ref="F29:G29"/>
    <mergeCell ref="F33:G33"/>
    <mergeCell ref="F34:G34"/>
    <mergeCell ref="F35:G35"/>
  </mergeCells>
  <hyperlinks>
    <hyperlink ref="A1" location="'TABLE OF CONTENTS'!A1" display="INDEX" xr:uid="{B1DC05AD-B010-4590-87FE-ED3FEB37D4F7}"/>
  </hyperlinks>
  <pageMargins left="0.70866141732283472" right="0.70866141732283472" top="0.74803149606299213" bottom="0.74803149606299213" header="0.31496062992125984" footer="0.31496062992125984"/>
  <pageSetup scale="76" orientation="portrait" r:id="rId1"/>
  <rowBreaks count="1" manualBreakCount="1">
    <brk id="45" min="3" max="7"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59">
    <tabColor rgb="FF00B0F0"/>
    <outlinePr summaryBelow="0" summaryRight="0"/>
    <pageSetUpPr fitToPage="1"/>
  </sheetPr>
  <dimension ref="A1:R35"/>
  <sheetViews>
    <sheetView showGridLines="0" topLeftCell="A20" workbookViewId="0">
      <selection activeCell="D11" sqref="D11"/>
    </sheetView>
  </sheetViews>
  <sheetFormatPr defaultColWidth="12.5703125" defaultRowHeight="15.75" customHeight="1"/>
  <cols>
    <col min="1" max="1" width="3.5703125" customWidth="1"/>
    <col min="2" max="2" width="25.42578125" customWidth="1"/>
    <col min="3" max="3" width="5.140625" customWidth="1"/>
    <col min="7" max="7" width="17.140625" customWidth="1"/>
    <col min="8" max="8" width="39.7109375" customWidth="1"/>
    <col min="9" max="9" width="18.140625" customWidth="1"/>
    <col min="10" max="10" width="5" customWidth="1"/>
    <col min="13" max="13" width="30" customWidth="1"/>
  </cols>
  <sheetData>
    <row r="1" spans="1:18" ht="12.75">
      <c r="A1" s="59" t="s">
        <v>1650</v>
      </c>
      <c r="B1" s="3" t="s">
        <v>0</v>
      </c>
      <c r="C1" s="3" t="s">
        <v>1075</v>
      </c>
      <c r="D1" s="1"/>
      <c r="E1" s="1"/>
      <c r="F1" s="138"/>
      <c r="G1" s="1"/>
      <c r="H1" s="1"/>
      <c r="I1" s="1"/>
      <c r="J1" s="1"/>
    </row>
    <row r="2" spans="1:18" ht="12.75">
      <c r="B2" s="24" t="s">
        <v>0</v>
      </c>
      <c r="C2" s="24"/>
      <c r="D2" s="1"/>
      <c r="E2" s="1"/>
      <c r="F2" s="138"/>
      <c r="G2" s="1"/>
      <c r="H2" s="1"/>
      <c r="I2" s="1"/>
      <c r="J2" s="1"/>
    </row>
    <row r="3" spans="1:18" ht="12.75">
      <c r="B3" s="24"/>
      <c r="C3" s="24"/>
      <c r="D3" s="1"/>
      <c r="E3" s="1"/>
      <c r="F3" s="138"/>
      <c r="G3" s="1"/>
      <c r="H3" s="1"/>
      <c r="I3" s="1"/>
      <c r="J3" s="1"/>
    </row>
    <row r="4" spans="1:18" ht="12.75">
      <c r="B4" s="1" t="s">
        <v>0</v>
      </c>
      <c r="C4" s="1"/>
      <c r="D4" s="94"/>
      <c r="E4" s="94"/>
      <c r="F4" s="95"/>
      <c r="G4" s="94"/>
      <c r="H4" s="94"/>
      <c r="I4" s="94"/>
      <c r="J4" s="94"/>
    </row>
    <row r="5" spans="1:18" ht="16.5" customHeight="1">
      <c r="B5" s="1"/>
      <c r="C5" s="1"/>
      <c r="D5" s="1"/>
      <c r="E5" s="1"/>
      <c r="F5" s="1"/>
      <c r="G5" s="1"/>
      <c r="H5" s="1"/>
      <c r="I5" s="1"/>
      <c r="J5" s="1"/>
    </row>
    <row r="6" spans="1:18" ht="42.75" customHeight="1">
      <c r="B6" s="36">
        <f>LOOKUP($I$16,SJ!$C$5:G35,SJ!$G$5:G35)</f>
        <v>45777</v>
      </c>
      <c r="C6" s="36"/>
      <c r="D6" s="25"/>
      <c r="F6" s="25"/>
      <c r="G6" s="26" t="s">
        <v>0</v>
      </c>
      <c r="H6" s="1328" t="str">
        <f>"Invoice Date  "&amp;(TEXT(B6,"MMMM DD,YYYY"))</f>
        <v>Invoice Date  April 30,2025</v>
      </c>
      <c r="I6" s="1295"/>
      <c r="J6" s="1295"/>
      <c r="M6" s="1329"/>
      <c r="N6" s="1295"/>
      <c r="O6" s="1295"/>
      <c r="P6" s="1295"/>
      <c r="Q6" s="1295"/>
      <c r="R6" s="1295"/>
    </row>
    <row r="7" spans="1:18" ht="35.25" customHeight="1">
      <c r="B7" s="1"/>
      <c r="C7" s="1"/>
      <c r="D7" s="96" t="str">
        <f>+COA!B2</f>
        <v>ANONYMOUS COMPANY</v>
      </c>
      <c r="E7" s="97"/>
      <c r="F7" s="97"/>
      <c r="G7" s="1"/>
      <c r="H7" s="1"/>
      <c r="I7" s="1"/>
      <c r="J7" s="1"/>
    </row>
    <row r="8" spans="1:18" ht="16.5" customHeight="1">
      <c r="B8" s="1"/>
      <c r="C8" s="1"/>
      <c r="D8" s="1319" t="str">
        <f>COA!G2</f>
        <v>402-566 TOPSAIL ROAD</v>
      </c>
      <c r="E8" s="1295"/>
      <c r="F8" s="1295"/>
      <c r="G8" s="1"/>
      <c r="H8" s="1"/>
      <c r="I8" s="1"/>
      <c r="J8" s="1"/>
    </row>
    <row r="9" spans="1:18" ht="19.5" customHeight="1">
      <c r="B9" s="1"/>
      <c r="C9" s="1"/>
      <c r="D9" s="1330" t="str">
        <f>COA!J2</f>
        <v xml:space="preserve">ST. JOHN'S, NL A1E 0B4 </v>
      </c>
      <c r="E9" s="1295"/>
      <c r="F9" s="1295"/>
      <c r="G9" s="1"/>
      <c r="H9" s="1"/>
      <c r="I9" s="1"/>
      <c r="J9" s="1"/>
    </row>
    <row r="10" spans="1:18" ht="12.75">
      <c r="B10" s="1"/>
      <c r="C10" s="1"/>
      <c r="D10" s="1319" t="str">
        <f>COA!M2</f>
        <v>Phone #000 -123-4567</v>
      </c>
      <c r="E10" s="1295"/>
      <c r="F10" s="1"/>
      <c r="G10" s="1"/>
      <c r="H10" s="1"/>
      <c r="I10" s="1"/>
      <c r="J10" s="1"/>
    </row>
    <row r="11" spans="1:18" ht="12.75">
      <c r="B11" s="1"/>
      <c r="C11" s="1"/>
      <c r="D11" s="1"/>
      <c r="E11" s="1"/>
      <c r="F11" s="1"/>
      <c r="G11" s="1"/>
      <c r="H11" s="1"/>
      <c r="I11" s="1"/>
      <c r="J11" s="1"/>
    </row>
    <row r="12" spans="1:18" ht="42.75">
      <c r="B12" s="1"/>
      <c r="C12" s="1"/>
      <c r="D12" s="1323" t="s">
        <v>202</v>
      </c>
      <c r="E12" s="1324"/>
      <c r="F12" s="1324"/>
      <c r="G12" s="1324"/>
      <c r="H12" s="1"/>
      <c r="I12" s="1"/>
      <c r="J12" s="1"/>
    </row>
    <row r="13" spans="1:18" ht="12.75">
      <c r="B13" s="1"/>
      <c r="C13" s="1"/>
      <c r="D13" s="1"/>
      <c r="E13" s="1"/>
      <c r="F13" s="1"/>
      <c r="G13" s="1"/>
      <c r="H13" s="1"/>
      <c r="I13" s="1"/>
      <c r="J13" s="1"/>
    </row>
    <row r="14" spans="1:18" ht="12.75">
      <c r="B14" s="1"/>
      <c r="C14" s="1"/>
      <c r="D14" s="1295"/>
      <c r="E14" s="1295"/>
      <c r="F14" s="1295"/>
      <c r="G14" s="1295"/>
      <c r="H14" s="1295"/>
      <c r="I14" s="1295"/>
      <c r="J14" s="1"/>
    </row>
    <row r="15" spans="1:18">
      <c r="B15" s="1"/>
      <c r="C15" s="1"/>
      <c r="D15" s="1327" t="s">
        <v>203</v>
      </c>
      <c r="E15" s="1295"/>
      <c r="F15" s="1327" t="s">
        <v>0</v>
      </c>
      <c r="G15" s="1295"/>
      <c r="H15" s="1325" t="s">
        <v>204</v>
      </c>
      <c r="I15" s="1295"/>
      <c r="J15" s="1"/>
    </row>
    <row r="16" spans="1:18" ht="12.75">
      <c r="C16" s="1"/>
      <c r="D16" s="1" t="str">
        <f>VLOOKUP($I$16,SJ!C9:L35,4,0)</f>
        <v>BIG BAD WOLF INC</v>
      </c>
      <c r="I16" s="139" t="s">
        <v>742</v>
      </c>
      <c r="J16" s="1"/>
    </row>
    <row r="17" spans="2:9" ht="12.75">
      <c r="B17" s="1"/>
      <c r="C17" s="1"/>
      <c r="D17" s="1319" t="str">
        <f>_xlfn.XLOOKUP($D$16,CUSTOMERS!C:C,CUSTOMERS!E:E,0)</f>
        <v>3 Forest Road</v>
      </c>
      <c r="E17" s="1295"/>
      <c r="F17" s="1295"/>
      <c r="H17" s="1295"/>
      <c r="I17" s="1295"/>
    </row>
    <row r="18" spans="2:9">
      <c r="B18" s="1"/>
      <c r="C18" s="1"/>
      <c r="D18" s="1319" t="str">
        <f>_xlfn.XLOOKUP($D$16,CUSTOMERS!C:C,CUSTOMERS!F:F,0)</f>
        <v>DETROIT</v>
      </c>
      <c r="E18" s="1295"/>
      <c r="F18" s="1295"/>
      <c r="G18" s="28"/>
      <c r="H18" s="1325" t="s">
        <v>183</v>
      </c>
      <c r="I18" s="1295"/>
    </row>
    <row r="19" spans="2:9">
      <c r="B19" s="1"/>
      <c r="C19" s="1"/>
      <c r="D19" s="1319">
        <f>_xlfn.XLOOKUP($D$16,CUSTOMERS!C:C,CUSTOMERS!H:H,0)</f>
        <v>48721</v>
      </c>
      <c r="E19" s="1295"/>
      <c r="F19" s="1295"/>
      <c r="G19" s="27"/>
      <c r="H19" s="1326">
        <f>B6+30</f>
        <v>45807</v>
      </c>
      <c r="I19" s="1295"/>
    </row>
    <row r="20" spans="2:9" ht="12.75">
      <c r="B20" s="1"/>
      <c r="C20" s="1"/>
      <c r="D20" s="1320"/>
      <c r="E20" s="1320"/>
      <c r="F20" s="1320"/>
      <c r="G20" s="1320"/>
      <c r="H20" s="1320"/>
      <c r="I20" s="1320"/>
    </row>
    <row r="21" spans="2:9" ht="12.75">
      <c r="B21" s="1"/>
      <c r="C21" s="1"/>
      <c r="D21" s="1"/>
      <c r="E21" s="1"/>
      <c r="F21" s="1"/>
      <c r="G21" s="1"/>
      <c r="H21" s="1"/>
      <c r="I21" s="1"/>
    </row>
    <row r="22" spans="2:9">
      <c r="B22" s="1"/>
      <c r="C22" s="1"/>
      <c r="D22" s="1321" t="s">
        <v>205</v>
      </c>
      <c r="E22" s="1295"/>
      <c r="F22" s="1295"/>
      <c r="G22" s="29" t="s">
        <v>0</v>
      </c>
      <c r="H22" s="29" t="s">
        <v>0</v>
      </c>
      <c r="I22" s="29" t="s">
        <v>0</v>
      </c>
    </row>
    <row r="23" spans="2:9" ht="136.5" customHeight="1">
      <c r="B23" s="24" t="s">
        <v>0</v>
      </c>
      <c r="C23" s="24"/>
      <c r="D23" s="1322" t="str">
        <f>VLOOKUP($I$16,SJ!C9:L35,6,0)</f>
        <v xml:space="preserve">
Description of Services:
For the years ended October 31, 2022, October 31, 2023 and October 31, 2024
1. Set up and preparation of books of original entry from incomplete records:
   With reference to bank statements and deposits
   With input from management
2. Set up of company's general ledger and posting the books of original entry, and 
3. Compiling Financial Statements for the years than ended
</v>
      </c>
      <c r="E23" s="1295"/>
      <c r="F23" s="1295"/>
      <c r="G23" s="1295"/>
      <c r="H23" s="1295"/>
      <c r="I23" s="30">
        <f>VLOOKUP($I$16,SJ!C5:L35,8,0)</f>
        <v>15000</v>
      </c>
    </row>
    <row r="24" spans="2:9" ht="66" customHeight="1">
      <c r="B24" s="1"/>
      <c r="C24" s="1"/>
      <c r="D24" s="31"/>
      <c r="G24" s="1"/>
      <c r="H24" s="7"/>
      <c r="I24" s="30"/>
    </row>
    <row r="25" spans="2:9" ht="12.75">
      <c r="B25" s="1"/>
      <c r="C25" s="1"/>
      <c r="D25" s="1295"/>
      <c r="E25" s="1295"/>
      <c r="F25" s="1295"/>
      <c r="G25" s="1" t="s">
        <v>0</v>
      </c>
      <c r="H25" s="7" t="s">
        <v>0</v>
      </c>
      <c r="I25" s="32" t="s">
        <v>0</v>
      </c>
    </row>
    <row r="26" spans="2:9" ht="72.75" customHeight="1">
      <c r="B26" s="1"/>
      <c r="C26" s="1"/>
      <c r="D26" s="1315" t="s">
        <v>723</v>
      </c>
      <c r="E26" s="1316"/>
      <c r="F26" s="1316"/>
      <c r="G26" s="1317"/>
      <c r="H26" s="33" t="s">
        <v>206</v>
      </c>
      <c r="I26" s="34">
        <f>SUM(I23:I25)</f>
        <v>15000</v>
      </c>
    </row>
    <row r="27" spans="2:9">
      <c r="B27" s="1"/>
      <c r="C27" s="1"/>
      <c r="D27" s="1318" t="s">
        <v>724</v>
      </c>
      <c r="E27" s="1295"/>
      <c r="F27" s="1295"/>
      <c r="G27" s="1295"/>
      <c r="H27" s="33" t="s">
        <v>171</v>
      </c>
      <c r="I27" s="218">
        <f>VLOOKUP($I$16,SJ!C5:L35,9,0)</f>
        <v>2250</v>
      </c>
    </row>
    <row r="28" spans="2:9" ht="21" customHeight="1">
      <c r="B28" s="1"/>
      <c r="C28" s="1"/>
      <c r="D28" s="1"/>
      <c r="E28" s="1"/>
      <c r="F28" s="1"/>
      <c r="G28" s="1"/>
      <c r="I28" s="35">
        <f>I26+I27</f>
        <v>17250</v>
      </c>
    </row>
    <row r="35" spans="4:4" ht="15.75" customHeight="1">
      <c r="D35" s="3" t="s">
        <v>0</v>
      </c>
    </row>
  </sheetData>
  <mergeCells count="26">
    <mergeCell ref="H6:J6"/>
    <mergeCell ref="M6:R6"/>
    <mergeCell ref="D8:F8"/>
    <mergeCell ref="D9:F9"/>
    <mergeCell ref="D10:E10"/>
    <mergeCell ref="D12:G12"/>
    <mergeCell ref="D14:E14"/>
    <mergeCell ref="H18:I18"/>
    <mergeCell ref="H19:I19"/>
    <mergeCell ref="H20:I20"/>
    <mergeCell ref="F14:G14"/>
    <mergeCell ref="H14:I14"/>
    <mergeCell ref="D15:E15"/>
    <mergeCell ref="F15:G15"/>
    <mergeCell ref="H15:I15"/>
    <mergeCell ref="H17:I17"/>
    <mergeCell ref="D25:F25"/>
    <mergeCell ref="D26:G26"/>
    <mergeCell ref="D27:G27"/>
    <mergeCell ref="D17:F17"/>
    <mergeCell ref="D18:F18"/>
    <mergeCell ref="D19:F19"/>
    <mergeCell ref="D20:E20"/>
    <mergeCell ref="F20:G20"/>
    <mergeCell ref="D22:F22"/>
    <mergeCell ref="D23:H23"/>
  </mergeCells>
  <hyperlinks>
    <hyperlink ref="A1" location="'TABLE OF CONTENTS'!A1" display="INDEX" xr:uid="{C0F36D55-3FFE-4990-8FB9-23A0549C7C6A}"/>
  </hyperlinks>
  <printOptions horizontalCentered="1"/>
  <pageMargins left="0.23622047244094491" right="0.23622047244094491" top="0.74803149606299213" bottom="0.74803149606299213" header="0.31496062992125984" footer="0.31496062992125984"/>
  <pageSetup scale="42" pageOrder="overThenDown" orientation="portrait" cellComments="atEnd"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0978B-79DA-44F9-9273-D30779149A03}">
  <sheetPr codeName="Sheet8">
    <tabColor rgb="FF0070C0"/>
  </sheetPr>
  <dimension ref="A1:BC28"/>
  <sheetViews>
    <sheetView workbookViewId="0"/>
  </sheetViews>
  <sheetFormatPr defaultColWidth="9.140625" defaultRowHeight="15" customHeight="1"/>
  <cols>
    <col min="1" max="1" width="9.140625" style="789"/>
    <col min="2" max="2" width="16.85546875" style="789" customWidth="1"/>
    <col min="3" max="3" width="22.7109375" style="789" customWidth="1"/>
    <col min="4" max="4" width="11.85546875" style="789" customWidth="1"/>
    <col min="5" max="5" width="8.7109375" style="790" customWidth="1"/>
    <col min="6" max="6" width="40.28515625" style="789" customWidth="1"/>
    <col min="7" max="7" width="17.5703125" style="789" customWidth="1"/>
    <col min="8" max="8" width="27.5703125" style="789" customWidth="1"/>
    <col min="9" max="9" width="11.85546875" style="789" customWidth="1"/>
    <col min="10" max="10" width="11" style="789" customWidth="1"/>
    <col min="11" max="11" width="12.85546875" style="789" customWidth="1"/>
    <col min="12" max="16384" width="9.140625" style="789"/>
  </cols>
  <sheetData>
    <row r="1" spans="1:55" ht="15" customHeight="1">
      <c r="A1" s="59" t="s">
        <v>1650</v>
      </c>
      <c r="C1" s="788" t="s">
        <v>1076</v>
      </c>
      <c r="BC1" s="3" t="s">
        <v>0</v>
      </c>
    </row>
    <row r="2" spans="1:55" ht="15" customHeight="1">
      <c r="B2" s="84" t="str">
        <f>COA!$B$2</f>
        <v>ANONYMOUS COMPANY</v>
      </c>
      <c r="E2" s="789"/>
      <c r="F2" s="790"/>
    </row>
    <row r="3" spans="1:55" ht="15" customHeight="1">
      <c r="B3" s="812" t="s">
        <v>164</v>
      </c>
      <c r="E3" s="789"/>
      <c r="F3" s="791"/>
      <c r="G3" s="792"/>
      <c r="H3" s="793"/>
    </row>
    <row r="4" spans="1:55" ht="15" customHeight="1">
      <c r="B4" s="212" t="str">
        <f>"FOR THE PERIOD ENDED "&amp;UPPER(TEXT(COA!B4,"MMMM DD, YYYY"))</f>
        <v>FOR THE PERIOD ENDED DECEMBER 31, 2025</v>
      </c>
      <c r="D4"/>
      <c r="E4"/>
      <c r="F4"/>
      <c r="G4"/>
      <c r="H4" s="1052" t="s">
        <v>25</v>
      </c>
      <c r="I4" s="1053"/>
      <c r="J4" s="1053"/>
      <c r="K4" s="1054">
        <f>SUM(DE_CR[AMOUNT])</f>
        <v>0</v>
      </c>
    </row>
    <row r="6" spans="1:55" ht="50.25" customHeight="1">
      <c r="B6" s="795" t="s">
        <v>165</v>
      </c>
      <c r="C6" s="796" t="s">
        <v>7</v>
      </c>
      <c r="D6" s="797" t="s">
        <v>8</v>
      </c>
      <c r="E6" s="798" t="s">
        <v>6</v>
      </c>
      <c r="F6" s="799" t="s">
        <v>9</v>
      </c>
      <c r="G6" s="799" t="s">
        <v>751</v>
      </c>
      <c r="H6" s="801" t="s">
        <v>10</v>
      </c>
      <c r="I6" s="800" t="s">
        <v>166</v>
      </c>
      <c r="J6" s="794" t="s">
        <v>1611</v>
      </c>
      <c r="K6" s="802" t="s">
        <v>13</v>
      </c>
    </row>
    <row r="7" spans="1:55" ht="17.100000000000001" customHeight="1" thickBot="1">
      <c r="B7" s="915"/>
      <c r="C7" s="916">
        <f>COA!B4</f>
        <v>46022</v>
      </c>
      <c r="D7" s="917">
        <v>250499</v>
      </c>
      <c r="E7" s="918" t="s">
        <v>96</v>
      </c>
      <c r="F7" s="919" t="s">
        <v>1616</v>
      </c>
      <c r="G7" s="919"/>
      <c r="H7" s="912" t="s">
        <v>80</v>
      </c>
      <c r="I7" s="920"/>
      <c r="J7" s="915"/>
      <c r="K7" s="932">
        <f>SUM(DE_CR[ACTIVITY])</f>
        <v>15261.25</v>
      </c>
      <c r="L7" s="849"/>
    </row>
    <row r="8" spans="1:55" ht="17.100000000000001" hidden="1" customHeight="1" thickTop="1">
      <c r="B8" s="813"/>
      <c r="C8" s="814" t="s">
        <v>0</v>
      </c>
      <c r="D8" s="805" t="s">
        <v>0</v>
      </c>
      <c r="E8" s="806" t="s">
        <v>96</v>
      </c>
      <c r="F8" s="710"/>
      <c r="G8" s="807">
        <v>0</v>
      </c>
      <c r="H8" s="710"/>
      <c r="I8" s="808" t="s">
        <v>0</v>
      </c>
      <c r="J8" s="827" t="str">
        <f>IF(G8=0,"",(IF((I8="C"),"",(MAX($B4:B$5)+1))))</f>
        <v/>
      </c>
      <c r="K8" s="828">
        <f>-DE_CR[[#This Row],[ACTIVITY]]</f>
        <v>0</v>
      </c>
      <c r="L8" s="849"/>
    </row>
    <row r="9" spans="1:55" ht="20.25" customHeight="1" thickTop="1">
      <c r="B9" s="813" t="s">
        <v>679</v>
      </c>
      <c r="C9" s="814">
        <v>45760</v>
      </c>
      <c r="D9" s="805">
        <v>250401</v>
      </c>
      <c r="E9" s="806" t="s">
        <v>96</v>
      </c>
      <c r="F9" s="710" t="s">
        <v>689</v>
      </c>
      <c r="G9" s="807">
        <v>3450</v>
      </c>
      <c r="H9" s="710" t="s">
        <v>82</v>
      </c>
      <c r="I9" s="808" t="s">
        <v>33</v>
      </c>
      <c r="J9" s="827" t="str">
        <f>IF(G9=0,"",(IF((I9="C"),"",(MAX($B$5:B5)+1))))</f>
        <v/>
      </c>
      <c r="K9" s="828">
        <f>-DE_CR[[#This Row],[ACTIVITY]]</f>
        <v>-3450</v>
      </c>
    </row>
    <row r="10" spans="1:55" ht="15" customHeight="1">
      <c r="B10" s="711" t="s">
        <v>741</v>
      </c>
      <c r="C10" s="814">
        <v>45745</v>
      </c>
      <c r="D10" s="709">
        <v>250301</v>
      </c>
      <c r="E10" s="806" t="s">
        <v>96</v>
      </c>
      <c r="F10" s="710" t="s">
        <v>687</v>
      </c>
      <c r="G10" s="807">
        <v>1811.25</v>
      </c>
      <c r="H10" s="710" t="s">
        <v>82</v>
      </c>
      <c r="I10" s="808" t="s">
        <v>33</v>
      </c>
      <c r="J10" s="827" t="str">
        <f>IF(G10=0,"",(IF((I10="C"),"",(MAX($B$5:B5)+1))))</f>
        <v/>
      </c>
      <c r="K10" s="828">
        <f>-DE_CR[[#This Row],[ACTIVITY]]</f>
        <v>-1811.25</v>
      </c>
    </row>
    <row r="11" spans="1:55" ht="15" customHeight="1">
      <c r="B11" s="711" t="s">
        <v>742</v>
      </c>
      <c r="C11" s="814">
        <v>45782</v>
      </c>
      <c r="D11" s="709">
        <v>250501</v>
      </c>
      <c r="E11" s="806" t="s">
        <v>96</v>
      </c>
      <c r="F11" s="710" t="s">
        <v>685</v>
      </c>
      <c r="G11" s="807">
        <v>10000</v>
      </c>
      <c r="H11" s="710" t="s">
        <v>82</v>
      </c>
      <c r="I11" s="808"/>
      <c r="J11" s="933">
        <f>IF(G11=0,"",(IF((I11="C"),"",(MAX($B$5:B5)+1))))</f>
        <v>1</v>
      </c>
      <c r="K11" s="828">
        <f>-DE_CR[[#This Row],[ACTIVITY]]</f>
        <v>-10000</v>
      </c>
    </row>
    <row r="12" spans="1:55" ht="15" customHeight="1">
      <c r="B12" s="709"/>
      <c r="C12" s="814"/>
      <c r="D12" s="709"/>
      <c r="E12" s="806"/>
      <c r="F12" s="710"/>
      <c r="G12" s="807"/>
      <c r="H12" s="710"/>
      <c r="I12" s="808"/>
      <c r="J12" s="827" t="str">
        <f>IF(G12=0,"",(IF((I12="C"),"",(MAX($B$5:B5)+1))))</f>
        <v/>
      </c>
      <c r="K12" s="828">
        <f>-DE_CR[[#This Row],[ACTIVITY]]</f>
        <v>0</v>
      </c>
    </row>
    <row r="13" spans="1:55" ht="15" customHeight="1">
      <c r="B13" s="100"/>
      <c r="C13" s="815"/>
      <c r="D13" s="100"/>
      <c r="E13" s="806"/>
      <c r="F13" s="3"/>
      <c r="G13" s="807"/>
      <c r="H13" s="710"/>
      <c r="I13" s="808"/>
      <c r="J13" s="827" t="str">
        <f>IF(G13=0,"",(IF((I13="C"),"",(MAX($B$5:B5)+1))))</f>
        <v/>
      </c>
      <c r="K13" s="828">
        <f>-DE_CR[[#This Row],[ACTIVITY]]</f>
        <v>0</v>
      </c>
    </row>
    <row r="14" spans="1:55" ht="15" customHeight="1">
      <c r="B14" s="100"/>
      <c r="C14" s="815"/>
      <c r="D14" s="100"/>
      <c r="E14" s="806"/>
      <c r="F14" s="3"/>
      <c r="G14" s="807"/>
      <c r="H14" s="710"/>
      <c r="I14" s="808"/>
      <c r="J14" s="827" t="str">
        <f>IF(G14=0,"",(IF((I14="C"),"",(MAX($B$5:B5)+1))))</f>
        <v/>
      </c>
      <c r="K14" s="828">
        <f>-DE_CR[[#This Row],[ACTIVITY]]</f>
        <v>0</v>
      </c>
    </row>
    <row r="15" spans="1:55" ht="15" customHeight="1">
      <c r="B15" s="100"/>
      <c r="C15" s="815"/>
      <c r="D15" s="100"/>
      <c r="E15" s="806"/>
      <c r="F15" s="3"/>
      <c r="G15" s="807"/>
      <c r="H15" s="710"/>
      <c r="I15" s="808"/>
      <c r="J15" s="827" t="str">
        <f>IF(G15=0,"",(IF((I15="C"),"",(MAX($B$5:B5)+1))))</f>
        <v/>
      </c>
      <c r="K15" s="828">
        <f>-DE_CR[[#This Row],[ACTIVITY]]</f>
        <v>0</v>
      </c>
    </row>
    <row r="16" spans="1:55" ht="15" customHeight="1">
      <c r="B16" s="100"/>
      <c r="C16" s="815"/>
      <c r="D16" s="100"/>
      <c r="E16" s="806"/>
      <c r="F16" s="3"/>
      <c r="G16" s="807"/>
      <c r="H16" s="710"/>
      <c r="I16" s="808"/>
      <c r="J16" s="827" t="str">
        <f>IF(G16=0,"",(IF((I16="C"),"",(MAX($B$5:B5)+1))))</f>
        <v/>
      </c>
      <c r="K16" s="828">
        <f>-DE_CR[[#This Row],[ACTIVITY]]</f>
        <v>0</v>
      </c>
    </row>
    <row r="17" spans="2:11" ht="15" customHeight="1">
      <c r="B17" s="809"/>
      <c r="C17" s="816"/>
      <c r="D17" s="810"/>
      <c r="E17" s="806"/>
      <c r="F17" s="811"/>
      <c r="G17" s="804"/>
      <c r="H17" s="710"/>
      <c r="I17" s="808"/>
      <c r="J17" s="827" t="str">
        <f>IF(G17=0,"",(IF((I17="C"),"",(MAX($B$5:B5)+1))))</f>
        <v/>
      </c>
      <c r="K17" s="828">
        <f>-DE_CR[[#This Row],[ACTIVITY]]</f>
        <v>0</v>
      </c>
    </row>
    <row r="18" spans="2:11" ht="15" customHeight="1">
      <c r="B18" s="809"/>
      <c r="C18" s="816"/>
      <c r="D18" s="810"/>
      <c r="E18" s="806"/>
      <c r="F18" s="811"/>
      <c r="G18" s="804"/>
      <c r="H18" s="710"/>
      <c r="I18" s="808"/>
      <c r="J18" s="827" t="str">
        <f>IF(G18=0,"",(IF((I18="C"),"",(MAX($B$5:B5)+1))))</f>
        <v/>
      </c>
      <c r="K18" s="828">
        <f>-DE_CR[[#This Row],[ACTIVITY]]</f>
        <v>0</v>
      </c>
    </row>
    <row r="19" spans="2:11" ht="20.100000000000001" customHeight="1">
      <c r="B19" s="922" t="s">
        <v>1635</v>
      </c>
      <c r="C19" s="923"/>
      <c r="D19" s="924"/>
      <c r="E19" s="925"/>
      <c r="F19" s="926"/>
      <c r="G19" s="927"/>
      <c r="H19" s="928"/>
      <c r="I19" s="929"/>
      <c r="J19" s="930"/>
      <c r="K19" s="931"/>
    </row>
    <row r="22" spans="2:11" ht="15" customHeight="1">
      <c r="K22" s="921" t="s">
        <v>0</v>
      </c>
    </row>
    <row r="23" spans="2:11" ht="15" customHeight="1">
      <c r="H23" s="851"/>
      <c r="I23" s="851"/>
      <c r="J23" s="851"/>
      <c r="K23" s="851"/>
    </row>
    <row r="24" spans="2:11" ht="15" customHeight="1">
      <c r="H24" s="851"/>
      <c r="I24" s="851"/>
      <c r="J24" s="851"/>
      <c r="K24" s="851"/>
    </row>
    <row r="25" spans="2:11" ht="15" customHeight="1">
      <c r="H25" s="851"/>
      <c r="I25" s="851"/>
      <c r="J25" s="851"/>
      <c r="K25" s="851"/>
    </row>
    <row r="26" spans="2:11" ht="15" customHeight="1">
      <c r="H26" s="851"/>
      <c r="I26" s="851"/>
      <c r="J26" s="851"/>
      <c r="K26" s="851"/>
    </row>
    <row r="27" spans="2:11" ht="15" customHeight="1">
      <c r="H27" s="851"/>
      <c r="I27" s="851"/>
      <c r="J27" s="851"/>
      <c r="K27" s="851"/>
    </row>
    <row r="28" spans="2:11" ht="15" customHeight="1">
      <c r="H28" s="851"/>
      <c r="I28" s="851"/>
      <c r="J28" s="851"/>
      <c r="K28" s="851"/>
    </row>
  </sheetData>
  <sheetProtection selectLockedCells="1"/>
  <hyperlinks>
    <hyperlink ref="A1" location="'TABLE OF CONTENTS'!A1" display="INDEX" xr:uid="{3E14996F-B124-4950-A276-108573EA80EA}"/>
  </hyperlink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3">
        <x14:dataValidation type="list" allowBlank="1" showInputMessage="1" showErrorMessage="1" xr:uid="{0D670E83-F73A-4BF5-B8BE-5F51FE66DEC0}">
          <x14:formula1>
            <xm:f>CUSTOMERS!$C$3:$C$16</xm:f>
          </x14:formula1>
          <xm:sqref>F8:F18</xm:sqref>
        </x14:dataValidation>
        <x14:dataValidation type="list" allowBlank="1" xr:uid="{B6A13D54-531C-4FE0-8A2C-80CA0C9A7D55}">
          <x14:formula1>
            <xm:f>COA!$D$7:$D$170</xm:f>
          </x14:formula1>
          <xm:sqref>H7:H18</xm:sqref>
        </x14:dataValidation>
        <x14:dataValidation type="list" allowBlank="1" showInputMessage="1" showErrorMessage="1" xr:uid="{D42B61A3-C114-4D86-857D-C01CCA08EB39}">
          <x14:formula1>
            <xm:f>SJ!$C$9:$C$35</xm:f>
          </x14:formula1>
          <xm:sqref>B8:B18</xm:sqref>
        </x14:dataValidation>
      </x14:dataValidations>
    </ext>
  </extLs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5BBB5-54C6-40D6-8FCB-EE3BAD5001FD}">
  <sheetPr codeName="Sheet19">
    <tabColor rgb="FF0070C0"/>
    <outlinePr summaryBelow="0" summaryRight="0"/>
  </sheetPr>
  <dimension ref="A1:BC36"/>
  <sheetViews>
    <sheetView zoomScaleNormal="100" workbookViewId="0"/>
  </sheetViews>
  <sheetFormatPr defaultColWidth="12.5703125" defaultRowHeight="15.75" customHeight="1"/>
  <cols>
    <col min="1" max="1" width="9.42578125" customWidth="1"/>
    <col min="2" max="2" width="20.140625" style="145" customWidth="1"/>
    <col min="3" max="3" width="13" style="41" customWidth="1"/>
    <col min="4" max="4" width="10.28515625" customWidth="1"/>
    <col min="5" max="5" width="34.28515625" customWidth="1"/>
    <col min="6" max="6" width="8.5703125" style="44" customWidth="1"/>
    <col min="7" max="7" width="16.42578125" customWidth="1"/>
    <col min="8" max="8" width="24.28515625" style="42" customWidth="1"/>
    <col min="9" max="9" width="20.7109375" style="42" customWidth="1"/>
    <col min="10" max="10" width="16" customWidth="1"/>
    <col min="12" max="12" width="9.140625" customWidth="1"/>
    <col min="13" max="13" width="15.42578125" customWidth="1"/>
  </cols>
  <sheetData>
    <row r="1" spans="1:55" ht="15.75" customHeight="1">
      <c r="A1" s="59" t="s">
        <v>1650</v>
      </c>
      <c r="B1"/>
      <c r="C1" s="675" t="s">
        <v>1378</v>
      </c>
      <c r="BC1" t="e">
        <f>CR!#REF!=COUNT(H:H,"&lt;&gt;0")</f>
        <v>#REF!</v>
      </c>
    </row>
    <row r="2" spans="1:55" ht="15" customHeight="1">
      <c r="B2" s="230" t="str">
        <f>COA!$B$2</f>
        <v>ANONYMOUS COMPANY</v>
      </c>
      <c r="F2" s="49"/>
    </row>
    <row r="3" spans="1:55" ht="12" customHeight="1">
      <c r="B3" s="675" t="s">
        <v>1378</v>
      </c>
      <c r="C3" s="67"/>
      <c r="D3" s="61"/>
      <c r="E3" s="61"/>
      <c r="F3" s="49"/>
    </row>
    <row r="4" spans="1:55" ht="12" customHeight="1">
      <c r="B4" s="231" t="str">
        <f>"FOR THE PERIOD ENDED "&amp;UPPER(TEXT(COA!B4,"MMMM DD, YYYY"))</f>
        <v>FOR THE PERIOD ENDED DECEMBER 31, 2025</v>
      </c>
      <c r="C4" s="68"/>
      <c r="D4" s="18"/>
      <c r="E4" s="18"/>
      <c r="F4" s="50"/>
      <c r="H4" s="1055" t="s">
        <v>25</v>
      </c>
      <c r="I4" s="1056" t="s">
        <v>0</v>
      </c>
      <c r="J4" s="1057">
        <f>SUM(DE_PJ[AMOUNT])</f>
        <v>0</v>
      </c>
    </row>
    <row r="5" spans="1:55" ht="11.25" customHeight="1">
      <c r="B5" s="140"/>
      <c r="C5" s="69"/>
      <c r="E5" t="s">
        <v>0</v>
      </c>
      <c r="F5" s="49"/>
    </row>
    <row r="6" spans="1:55" ht="50.25" customHeight="1">
      <c r="B6" s="819" t="s">
        <v>7</v>
      </c>
      <c r="C6" s="820" t="s">
        <v>8</v>
      </c>
      <c r="D6" s="820" t="s">
        <v>6</v>
      </c>
      <c r="E6" s="136" t="s">
        <v>9</v>
      </c>
      <c r="F6" s="821" t="s">
        <v>184</v>
      </c>
      <c r="G6" s="822" t="s">
        <v>42</v>
      </c>
      <c r="H6" s="136" t="s">
        <v>10</v>
      </c>
      <c r="I6" s="823" t="s">
        <v>171</v>
      </c>
      <c r="J6" s="823" t="s">
        <v>13</v>
      </c>
      <c r="K6" s="824" t="s">
        <v>1399</v>
      </c>
      <c r="L6" s="99" t="s">
        <v>1397</v>
      </c>
      <c r="M6" s="825" t="s">
        <v>1379</v>
      </c>
    </row>
    <row r="7" spans="1:55" ht="17.100000000000001" customHeight="1">
      <c r="B7" s="842">
        <v>46022</v>
      </c>
      <c r="C7" s="843">
        <v>249999</v>
      </c>
      <c r="D7" s="831" t="s">
        <v>151</v>
      </c>
      <c r="E7" s="31" t="s">
        <v>154</v>
      </c>
      <c r="F7" s="31"/>
      <c r="G7" s="844" t="s">
        <v>0</v>
      </c>
      <c r="H7" s="31" t="s">
        <v>89</v>
      </c>
      <c r="I7" s="845">
        <v>0</v>
      </c>
      <c r="J7" s="845">
        <f>SUM(I10:I20)</f>
        <v>0</v>
      </c>
      <c r="K7" s="846" t="s">
        <v>0</v>
      </c>
      <c r="L7" s="847" t="s">
        <v>0</v>
      </c>
      <c r="M7" s="845" t="s">
        <v>0</v>
      </c>
    </row>
    <row r="8" spans="1:55" ht="17.100000000000001" customHeight="1" thickBot="1">
      <c r="B8" s="943">
        <v>46022</v>
      </c>
      <c r="C8" s="944">
        <v>249999</v>
      </c>
      <c r="D8" s="945" t="s">
        <v>151</v>
      </c>
      <c r="E8" s="946" t="s">
        <v>42</v>
      </c>
      <c r="F8" s="946"/>
      <c r="G8" s="947">
        <v>0</v>
      </c>
      <c r="H8" s="946" t="s">
        <v>83</v>
      </c>
      <c r="I8" s="948">
        <v>0</v>
      </c>
      <c r="J8" s="948">
        <f>SUM(G10:G20)</f>
        <v>-20033</v>
      </c>
      <c r="K8" s="950">
        <f>SUM(K10:K19)</f>
        <v>16512.52</v>
      </c>
      <c r="L8" s="949" t="s">
        <v>0</v>
      </c>
      <c r="M8" s="950">
        <f>SUM(M10:M19)</f>
        <v>-3520.48</v>
      </c>
    </row>
    <row r="9" spans="1:55" ht="17.100000000000001" hidden="1" customHeight="1" thickTop="1">
      <c r="B9" s="146" t="s">
        <v>0</v>
      </c>
      <c r="C9" s="803" t="s">
        <v>0</v>
      </c>
      <c r="D9" s="115" t="s">
        <v>151</v>
      </c>
      <c r="E9" s="3" t="s">
        <v>0</v>
      </c>
      <c r="F9" s="115" t="s">
        <v>0</v>
      </c>
      <c r="G9" s="817">
        <v>0</v>
      </c>
      <c r="H9" s="3"/>
      <c r="I9" s="818">
        <f>IF(F9="Y",((G9/1.15)*-0.15),0)</f>
        <v>0</v>
      </c>
      <c r="J9" s="818">
        <f>IF(G9&lt;0,ABS(G9+I9),(G9+I9)*-1)</f>
        <v>0</v>
      </c>
      <c r="K9" s="829">
        <f xml:space="preserve"> SUMIFS(CD!L:L,CD!E:E,C9)</f>
        <v>0</v>
      </c>
      <c r="L9" s="830">
        <f>IF((M9&lt;0),(MAX($L5:L$6)+1),0)</f>
        <v>0</v>
      </c>
      <c r="M9" s="853">
        <f>G9+K9</f>
        <v>0</v>
      </c>
    </row>
    <row r="10" spans="1:55" ht="26.25" customHeight="1" thickTop="1">
      <c r="B10" s="146">
        <v>45899</v>
      </c>
      <c r="C10" s="803">
        <v>121</v>
      </c>
      <c r="D10" s="115" t="s">
        <v>151</v>
      </c>
      <c r="E10" s="3" t="s">
        <v>1140</v>
      </c>
      <c r="F10" s="115" t="s">
        <v>0</v>
      </c>
      <c r="G10" s="817">
        <v>-15180</v>
      </c>
      <c r="H10" s="3" t="s">
        <v>1287</v>
      </c>
      <c r="I10" s="818">
        <f>IF(F10="Y",((G10/1.15)*-0.15),0)</f>
        <v>0</v>
      </c>
      <c r="J10" s="818">
        <f>IF(G10&lt;0,ABS(G10+I10),(G10+I10)*-1)</f>
        <v>15180</v>
      </c>
      <c r="K10" s="829">
        <f xml:space="preserve"> SUMIFS(CD!L:L,CD!E:E,C10)*-1</f>
        <v>15180</v>
      </c>
      <c r="L10" s="830">
        <f>IF((M10&lt;0),(MAX($L$6:L6)+1),0)</f>
        <v>0</v>
      </c>
      <c r="M10" s="853">
        <f>G10+K10</f>
        <v>0</v>
      </c>
    </row>
    <row r="11" spans="1:55" ht="15" customHeight="1">
      <c r="B11" s="146">
        <v>45869</v>
      </c>
      <c r="C11" s="100">
        <v>122</v>
      </c>
      <c r="D11" s="115" t="s">
        <v>151</v>
      </c>
      <c r="E11" s="3" t="s">
        <v>1137</v>
      </c>
      <c r="F11" s="115"/>
      <c r="G11" s="817">
        <v>-3278</v>
      </c>
      <c r="H11" s="3" t="s">
        <v>1287</v>
      </c>
      <c r="I11" s="818">
        <f t="shared" ref="I11:I18" si="0">IF(F11="Y",((G11/1.15)*-0.15),0)</f>
        <v>0</v>
      </c>
      <c r="J11" s="818">
        <f t="shared" ref="J11:J18" si="1">IF(G11&lt;0,ABS(G11+I11),(G11+I11)*-1)</f>
        <v>3278</v>
      </c>
      <c r="K11" s="829">
        <f xml:space="preserve"> SUMIFS(CD!L:L,CD!E:E,C11)*-1</f>
        <v>791.52</v>
      </c>
      <c r="L11" s="830">
        <f>IF((M11&lt;0),(MAX($L$6:L10)+1),0)</f>
        <v>1</v>
      </c>
      <c r="M11" s="853">
        <f t="shared" ref="M11:M19" si="2">G11+K11</f>
        <v>-2486.48</v>
      </c>
    </row>
    <row r="12" spans="1:55" ht="15" customHeight="1">
      <c r="B12" s="146">
        <v>45838</v>
      </c>
      <c r="C12" s="100">
        <v>123</v>
      </c>
      <c r="D12" s="115" t="s">
        <v>151</v>
      </c>
      <c r="E12" s="3" t="s">
        <v>1139</v>
      </c>
      <c r="F12" s="115"/>
      <c r="G12" s="817">
        <v>-1575</v>
      </c>
      <c r="H12" s="3" t="s">
        <v>1301</v>
      </c>
      <c r="I12" s="818">
        <f t="shared" si="0"/>
        <v>0</v>
      </c>
      <c r="J12" s="818">
        <f t="shared" si="1"/>
        <v>1575</v>
      </c>
      <c r="K12" s="829">
        <f xml:space="preserve"> SUMIFS(CD!L:L,CD!E:E,C12)*-1</f>
        <v>541</v>
      </c>
      <c r="L12" s="830">
        <f>IF((M12&lt;0),(MAX($L$6:L11)+1),0)</f>
        <v>2</v>
      </c>
      <c r="M12" s="853">
        <f t="shared" si="2"/>
        <v>-1034</v>
      </c>
    </row>
    <row r="13" spans="1:55" ht="15" customHeight="1">
      <c r="B13" s="146"/>
      <c r="C13" s="100"/>
      <c r="D13" s="115"/>
      <c r="E13" s="3"/>
      <c r="F13" s="115"/>
      <c r="G13" s="817"/>
      <c r="H13" s="3"/>
      <c r="I13" s="818">
        <f t="shared" si="0"/>
        <v>0</v>
      </c>
      <c r="J13" s="818">
        <f t="shared" si="1"/>
        <v>0</v>
      </c>
      <c r="K13" s="829">
        <f xml:space="preserve"> SUMIFS(CD!L:L,CD!E:E,C13)*-1</f>
        <v>0</v>
      </c>
      <c r="L13" s="830">
        <f>IF((M13&lt;0),(MAX($L$6:L12)+1),0)</f>
        <v>0</v>
      </c>
      <c r="M13" s="853">
        <f t="shared" si="2"/>
        <v>0</v>
      </c>
    </row>
    <row r="14" spans="1:55" ht="15" customHeight="1">
      <c r="B14" s="146"/>
      <c r="C14" s="100"/>
      <c r="D14" s="115"/>
      <c r="E14" s="3"/>
      <c r="F14" s="115"/>
      <c r="G14" s="817"/>
      <c r="H14" s="3"/>
      <c r="I14" s="818">
        <f t="shared" si="0"/>
        <v>0</v>
      </c>
      <c r="J14" s="818">
        <f t="shared" si="1"/>
        <v>0</v>
      </c>
      <c r="K14" s="829">
        <f xml:space="preserve"> SUMIFS(CD!L:L,CD!E:E,C14)*-1</f>
        <v>0</v>
      </c>
      <c r="L14" s="830">
        <f>IF((M14&lt;0),(MAX($L$6:L13)+1),0)</f>
        <v>0</v>
      </c>
      <c r="M14" s="853">
        <f t="shared" si="2"/>
        <v>0</v>
      </c>
      <c r="X14" t="s">
        <v>258</v>
      </c>
    </row>
    <row r="15" spans="1:55" ht="15" customHeight="1">
      <c r="B15" s="146"/>
      <c r="C15" s="100"/>
      <c r="D15" s="115"/>
      <c r="E15" s="3"/>
      <c r="F15" s="115"/>
      <c r="G15" s="817"/>
      <c r="H15" s="3"/>
      <c r="I15" s="818">
        <f t="shared" si="0"/>
        <v>0</v>
      </c>
      <c r="J15" s="818">
        <f t="shared" si="1"/>
        <v>0</v>
      </c>
      <c r="K15" s="829">
        <f xml:space="preserve"> SUMIFS(CD!L:L,CD!E:E,C15)*-1</f>
        <v>0</v>
      </c>
      <c r="L15" s="830">
        <f>IF((M15&lt;0),(MAX($L$6:L14)+1),0)</f>
        <v>0</v>
      </c>
      <c r="M15" s="853">
        <f t="shared" si="2"/>
        <v>0</v>
      </c>
    </row>
    <row r="16" spans="1:55" ht="15" customHeight="1">
      <c r="B16" s="146"/>
      <c r="C16" s="100"/>
      <c r="D16" s="115"/>
      <c r="E16" s="3"/>
      <c r="F16" s="115"/>
      <c r="G16" s="817"/>
      <c r="H16" s="3"/>
      <c r="I16" s="818">
        <f t="shared" si="0"/>
        <v>0</v>
      </c>
      <c r="J16" s="818">
        <f t="shared" si="1"/>
        <v>0</v>
      </c>
      <c r="K16" s="829">
        <f xml:space="preserve"> SUMIFS(CD!L:L,CD!E:E,C16)*-1</f>
        <v>0</v>
      </c>
      <c r="L16" s="830">
        <f>IF((M16&lt;0),(MAX($L$6:L15)+1),0)</f>
        <v>0</v>
      </c>
      <c r="M16" s="853">
        <f t="shared" si="2"/>
        <v>0</v>
      </c>
    </row>
    <row r="17" spans="2:13" ht="15" customHeight="1">
      <c r="B17" s="146"/>
      <c r="C17" s="100"/>
      <c r="D17" s="115"/>
      <c r="E17" s="3"/>
      <c r="F17" s="115"/>
      <c r="G17" s="817"/>
      <c r="H17" s="3"/>
      <c r="I17" s="818">
        <f t="shared" si="0"/>
        <v>0</v>
      </c>
      <c r="J17" s="818">
        <f t="shared" si="1"/>
        <v>0</v>
      </c>
      <c r="K17" s="829">
        <f xml:space="preserve"> SUMIFS(CD!L:L,CD!E:E,C17)*-1</f>
        <v>0</v>
      </c>
      <c r="L17" s="830">
        <f>IF((M17&lt;0),(MAX($L$6:L16)+1),0)</f>
        <v>0</v>
      </c>
      <c r="M17" s="853">
        <f t="shared" si="2"/>
        <v>0</v>
      </c>
    </row>
    <row r="18" spans="2:13" ht="15" customHeight="1">
      <c r="B18" s="146"/>
      <c r="C18" s="100"/>
      <c r="D18" s="115"/>
      <c r="E18" s="3"/>
      <c r="F18" s="115"/>
      <c r="G18" s="817"/>
      <c r="H18" s="3"/>
      <c r="I18" s="818">
        <f t="shared" si="0"/>
        <v>0</v>
      </c>
      <c r="J18" s="818">
        <f t="shared" si="1"/>
        <v>0</v>
      </c>
      <c r="K18" s="829">
        <f xml:space="preserve"> SUMIFS(CD!L:L,CD!E:E,C18)*-1</f>
        <v>0</v>
      </c>
      <c r="L18" s="830">
        <f>IF((M18&lt;0),(MAX($L$6:L17)+1),0)</f>
        <v>0</v>
      </c>
      <c r="M18" s="853">
        <f t="shared" si="2"/>
        <v>0</v>
      </c>
    </row>
    <row r="19" spans="2:13" ht="15" customHeight="1">
      <c r="B19" s="146"/>
      <c r="C19" s="100"/>
      <c r="D19" s="115"/>
      <c r="E19" s="3"/>
      <c r="F19" s="115"/>
      <c r="G19" s="817"/>
      <c r="H19" s="3"/>
      <c r="I19" s="818">
        <f t="shared" ref="I19" si="3">IF(F19="Y",((G19/1.15)*-0.15),0)</f>
        <v>0</v>
      </c>
      <c r="J19" s="818">
        <f t="shared" ref="J19" si="4">IF(G19&lt;0,ABS(G19+I19),(G19+I19)*-1)</f>
        <v>0</v>
      </c>
      <c r="K19" s="829">
        <f xml:space="preserve"> SUMIFS(CD!L:L,CD!E:E,C19)*-1</f>
        <v>0</v>
      </c>
      <c r="L19" s="830">
        <f>IF((M19&lt;0),(MAX($L$6:L18)+1),0)</f>
        <v>0</v>
      </c>
      <c r="M19" s="853">
        <f t="shared" si="2"/>
        <v>0</v>
      </c>
    </row>
    <row r="20" spans="2:13" ht="17.45" customHeight="1">
      <c r="B20" s="934" t="s">
        <v>1635</v>
      </c>
      <c r="C20" s="935"/>
      <c r="D20" s="936"/>
      <c r="E20" s="937"/>
      <c r="F20" s="937"/>
      <c r="G20" s="938"/>
      <c r="H20" s="937"/>
      <c r="I20" s="939"/>
      <c r="J20" s="939"/>
      <c r="K20" s="940"/>
      <c r="L20" s="941"/>
      <c r="M20" s="942"/>
    </row>
    <row r="21" spans="2:13" ht="15" customHeight="1">
      <c r="H21"/>
    </row>
    <row r="22" spans="2:13" ht="15" customHeight="1">
      <c r="H22"/>
      <c r="J22" s="818" t="s">
        <v>0</v>
      </c>
    </row>
    <row r="23" spans="2:13" ht="15" customHeight="1">
      <c r="H23"/>
    </row>
    <row r="24" spans="2:13" ht="15" customHeight="1">
      <c r="H24"/>
    </row>
    <row r="25" spans="2:13" ht="15" customHeight="1">
      <c r="H25"/>
    </row>
    <row r="26" spans="2:13" ht="15" customHeight="1">
      <c r="H26"/>
    </row>
    <row r="27" spans="2:13" ht="15" customHeight="1">
      <c r="H27"/>
    </row>
    <row r="28" spans="2:13" ht="15" customHeight="1">
      <c r="H28"/>
    </row>
    <row r="29" spans="2:13" ht="15" customHeight="1">
      <c r="H29"/>
    </row>
    <row r="30" spans="2:13" ht="15" customHeight="1">
      <c r="H30"/>
    </row>
    <row r="31" spans="2:13" ht="15" customHeight="1">
      <c r="H31"/>
    </row>
    <row r="32" spans="2:13" ht="15" customHeight="1">
      <c r="H32"/>
    </row>
    <row r="33" spans="2:14" ht="15" customHeight="1">
      <c r="H33"/>
    </row>
    <row r="34" spans="2:14" ht="15" customHeight="1">
      <c r="H34"/>
    </row>
    <row r="35" spans="2:14" ht="15.75" customHeight="1">
      <c r="B35" s="140"/>
      <c r="C35" s="216"/>
      <c r="D35" s="1"/>
      <c r="E35" s="1"/>
      <c r="F35" s="848"/>
      <c r="G35" s="1"/>
      <c r="H35" s="5"/>
      <c r="I35" s="5"/>
      <c r="J35" s="1"/>
      <c r="K35" s="817" t="s">
        <v>0</v>
      </c>
      <c r="L35" s="817" t="s">
        <v>0</v>
      </c>
      <c r="M35" s="817" t="s">
        <v>0</v>
      </c>
      <c r="N35" s="817" t="s">
        <v>0</v>
      </c>
    </row>
    <row r="36" spans="2:14" ht="15.75" customHeight="1">
      <c r="B36" s="140"/>
      <c r="C36" s="216"/>
      <c r="D36" s="1"/>
      <c r="E36" s="1"/>
      <c r="F36" s="848"/>
      <c r="G36" s="1"/>
      <c r="H36" s="5"/>
      <c r="I36" s="5"/>
      <c r="J36" s="1"/>
      <c r="K36" s="1"/>
    </row>
  </sheetData>
  <phoneticPr fontId="98" type="noConversion"/>
  <hyperlinks>
    <hyperlink ref="A1" location="'TABLE OF CONTENTS'!A1" display="INDEX" xr:uid="{0093E304-4947-47CA-AC00-427C99B7F816}"/>
  </hyperlink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8FC1BD4E-FA3D-48FA-907C-C625670DEE5B}">
          <x14:formula1>
            <xm:f>VENDORS!$D$3:$D$13</xm:f>
          </x14:formula1>
          <xm:sqref>E9:E19</xm:sqref>
        </x14:dataValidation>
        <x14:dataValidation type="list" allowBlank="1" xr:uid="{1551AD04-D52D-4E7A-BD4A-4679D87D26D2}">
          <x14:formula1>
            <xm:f>COA!$D$7:$D$170</xm:f>
          </x14:formula1>
          <xm:sqref>G35:G49 H21:H34 H7:H19</xm:sqref>
        </x14:dataValidation>
      </x14:dataValidations>
    </ext>
  </extLs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6">
    <tabColor rgb="FF0070C0"/>
    <outlinePr summaryBelow="0" summaryRight="0"/>
  </sheetPr>
  <dimension ref="A1:BD51"/>
  <sheetViews>
    <sheetView zoomScaleNormal="100" workbookViewId="0"/>
  </sheetViews>
  <sheetFormatPr defaultColWidth="12.5703125" defaultRowHeight="15.75" customHeight="1"/>
  <cols>
    <col min="1" max="1" width="9.42578125" customWidth="1"/>
    <col min="2" max="2" width="22.85546875" style="145" customWidth="1"/>
    <col min="3" max="3" width="12.28515625" style="41" customWidth="1"/>
    <col min="4" max="4" width="10.28515625" customWidth="1"/>
    <col min="5" max="5" width="40.85546875" customWidth="1"/>
    <col min="6" max="6" width="10.140625" style="44" customWidth="1"/>
    <col min="7" max="7" width="16.42578125" customWidth="1"/>
    <col min="8" max="8" width="37.28515625" style="42" customWidth="1"/>
    <col min="9" max="9" width="11.140625" style="42" customWidth="1"/>
    <col min="10" max="10" width="16" customWidth="1"/>
    <col min="11" max="11" width="5" customWidth="1"/>
  </cols>
  <sheetData>
    <row r="1" spans="1:56" ht="15.75" customHeight="1">
      <c r="A1" s="59" t="s">
        <v>1650</v>
      </c>
      <c r="B1"/>
      <c r="C1" s="675" t="s">
        <v>1077</v>
      </c>
      <c r="BD1">
        <f>COUNT(G:G,"&lt;&gt;0")</f>
        <v>8</v>
      </c>
    </row>
    <row r="2" spans="1:56" ht="15" customHeight="1">
      <c r="B2" s="230" t="str">
        <f>COA!$B$2</f>
        <v>ANONYMOUS COMPANY</v>
      </c>
      <c r="F2" s="49"/>
    </row>
    <row r="3" spans="1:56" ht="12" customHeight="1">
      <c r="B3" s="675" t="s">
        <v>1077</v>
      </c>
      <c r="C3" s="67"/>
      <c r="D3" s="61"/>
      <c r="E3" s="61"/>
      <c r="F3" s="49"/>
    </row>
    <row r="4" spans="1:56" ht="12" customHeight="1">
      <c r="B4" s="231" t="str">
        <f>"FOR THE PERIOD ENDED "&amp;UPPER(TEXT(COA!B4,"MMMM DD, YYYY"))</f>
        <v>FOR THE PERIOD ENDED DECEMBER 31, 2025</v>
      </c>
      <c r="C4" s="68"/>
      <c r="D4" s="18"/>
      <c r="E4" s="18"/>
      <c r="F4" s="50"/>
      <c r="I4" s="5" t="s">
        <v>0</v>
      </c>
    </row>
    <row r="5" spans="1:56" ht="11.25" customHeight="1">
      <c r="B5" s="140"/>
      <c r="C5" s="69"/>
      <c r="E5" t="s">
        <v>0</v>
      </c>
      <c r="F5" s="49"/>
    </row>
    <row r="6" spans="1:56" ht="11.25" customHeight="1">
      <c r="B6" s="153"/>
      <c r="C6" s="132"/>
      <c r="D6" s="60"/>
      <c r="E6" s="60"/>
      <c r="F6" s="133"/>
      <c r="G6" s="60"/>
      <c r="H6" s="1058" t="s">
        <v>1636</v>
      </c>
      <c r="I6" s="1059"/>
      <c r="J6" s="1060">
        <f>SUM(J9:J22)</f>
        <v>4.5474735088646412E-13</v>
      </c>
    </row>
    <row r="7" spans="1:56" ht="11.25" customHeight="1">
      <c r="B7" s="152">
        <f ca="1">NOW()</f>
        <v>45960.610998032411</v>
      </c>
      <c r="C7" s="132"/>
      <c r="D7" s="60"/>
      <c r="E7" s="60"/>
      <c r="F7" s="133"/>
      <c r="G7" s="60"/>
      <c r="H7" s="134"/>
      <c r="I7" s="134"/>
    </row>
    <row r="8" spans="1:56" ht="38.25" customHeight="1">
      <c r="B8" s="819" t="s">
        <v>7</v>
      </c>
      <c r="C8" s="820" t="s">
        <v>8</v>
      </c>
      <c r="D8" s="820" t="s">
        <v>6</v>
      </c>
      <c r="E8" s="136" t="s">
        <v>9</v>
      </c>
      <c r="F8" s="136" t="s">
        <v>184</v>
      </c>
      <c r="G8" s="822" t="s">
        <v>42</v>
      </c>
      <c r="H8" s="136" t="s">
        <v>10</v>
      </c>
      <c r="I8" s="823" t="s">
        <v>171</v>
      </c>
      <c r="J8" s="823" t="s">
        <v>13</v>
      </c>
      <c r="K8" s="838"/>
    </row>
    <row r="9" spans="1:56" ht="17.100000000000001" customHeight="1">
      <c r="B9" s="835">
        <f>COA!B4</f>
        <v>46022</v>
      </c>
      <c r="C9" s="836">
        <v>251299</v>
      </c>
      <c r="D9" s="98" t="s">
        <v>1373</v>
      </c>
      <c r="E9" s="836" t="s">
        <v>677</v>
      </c>
      <c r="F9" s="99"/>
      <c r="G9" s="837"/>
      <c r="H9" s="42" t="s">
        <v>89</v>
      </c>
      <c r="I9" s="839"/>
      <c r="J9" s="840">
        <f>SUM(I12:I23)</f>
        <v>0</v>
      </c>
      <c r="K9" s="840"/>
    </row>
    <row r="10" spans="1:56" ht="17.100000000000001" customHeight="1" thickBot="1">
      <c r="B10" s="951">
        <f>COA!B4</f>
        <v>46022</v>
      </c>
      <c r="C10" s="952">
        <v>251299</v>
      </c>
      <c r="D10" s="953" t="s">
        <v>1373</v>
      </c>
      <c r="E10" s="952" t="s">
        <v>1617</v>
      </c>
      <c r="F10" s="954"/>
      <c r="G10" s="955"/>
      <c r="H10" s="956" t="s">
        <v>1554</v>
      </c>
      <c r="I10" s="957"/>
      <c r="J10" s="958">
        <f>SUM(G12:G23)</f>
        <v>-4523.8499999999995</v>
      </c>
      <c r="K10" s="838"/>
    </row>
    <row r="11" spans="1:56" ht="17.100000000000001" hidden="1" customHeight="1" thickTop="1">
      <c r="B11" s="154" t="s">
        <v>0</v>
      </c>
      <c r="C11" s="58" t="s">
        <v>0</v>
      </c>
      <c r="D11" s="98" t="s">
        <v>1373</v>
      </c>
      <c r="E11" s="51" t="s">
        <v>0</v>
      </c>
      <c r="F11" s="98" t="s">
        <v>0</v>
      </c>
      <c r="G11" s="124">
        <v>0</v>
      </c>
      <c r="H11" s="51"/>
      <c r="I11" s="841">
        <f>IF(DE_CCJ[[#This Row],[HST 
Code]]="Y",DE_CCJ[[#This Row],[TOTAL]]/1.15*-0.15,0)</f>
        <v>0</v>
      </c>
      <c r="J11" s="841">
        <f>(DE_CCJ[[#This Row],[TOTAL]]+DE_CCJ[[#This Row],[HST]])*-1</f>
        <v>0</v>
      </c>
      <c r="K11" s="838"/>
    </row>
    <row r="12" spans="1:56" ht="26.25" customHeight="1" thickTop="1">
      <c r="B12" s="154">
        <v>45899</v>
      </c>
      <c r="C12" s="58">
        <v>250801</v>
      </c>
      <c r="D12" s="98" t="s">
        <v>1373</v>
      </c>
      <c r="E12" s="51" t="s">
        <v>1374</v>
      </c>
      <c r="F12" s="98" t="s">
        <v>0</v>
      </c>
      <c r="G12" s="124">
        <v>-458.52</v>
      </c>
      <c r="H12" s="51" t="s">
        <v>1288</v>
      </c>
      <c r="I12" s="841">
        <f>IF(DE_CCJ[[#This Row],[HST 
Code]]="Y",DE_CCJ[[#This Row],[TOTAL]]/1.15*-0.15,0)</f>
        <v>0</v>
      </c>
      <c r="J12" s="841">
        <f>(DE_CCJ[[#This Row],[TOTAL]]+DE_CCJ[[#This Row],[HST]])*-1</f>
        <v>458.52</v>
      </c>
      <c r="K12" s="838"/>
    </row>
    <row r="13" spans="1:56" ht="15" customHeight="1">
      <c r="B13" s="154">
        <v>45869</v>
      </c>
      <c r="C13" s="58">
        <v>250701</v>
      </c>
      <c r="D13" s="98" t="s">
        <v>1373</v>
      </c>
      <c r="E13" s="51" t="s">
        <v>1375</v>
      </c>
      <c r="F13" s="98" t="s">
        <v>0</v>
      </c>
      <c r="G13" s="124">
        <v>-1750</v>
      </c>
      <c r="H13" s="51" t="s">
        <v>1603</v>
      </c>
      <c r="I13" s="841">
        <f>IF(DE_CCJ[[#This Row],[HST 
Code]]="Y",DE_CCJ[[#This Row],[TOTAL]]/1.15*-0.15,0)</f>
        <v>0</v>
      </c>
      <c r="J13" s="841">
        <f>(DE_CCJ[[#This Row],[TOTAL]]+DE_CCJ[[#This Row],[HST]])*-1</f>
        <v>1750</v>
      </c>
      <c r="K13" s="838"/>
    </row>
    <row r="14" spans="1:56" ht="15" customHeight="1">
      <c r="B14" s="154">
        <v>45907</v>
      </c>
      <c r="C14" s="58">
        <v>250901</v>
      </c>
      <c r="D14" s="98" t="s">
        <v>1373</v>
      </c>
      <c r="E14" s="51" t="s">
        <v>1567</v>
      </c>
      <c r="F14" s="98" t="s">
        <v>0</v>
      </c>
      <c r="G14" s="124">
        <v>-115</v>
      </c>
      <c r="H14" s="51" t="s">
        <v>1609</v>
      </c>
      <c r="I14" s="841">
        <f>IF(DE_CCJ[[#This Row],[HST 
Code]]="Y",DE_CCJ[[#This Row],[TOTAL]]/1.15*-0.15,0)</f>
        <v>0</v>
      </c>
      <c r="J14" s="841">
        <f>(DE_CCJ[[#This Row],[TOTAL]]+DE_CCJ[[#This Row],[HST]])*-1</f>
        <v>115</v>
      </c>
      <c r="K14" s="838"/>
    </row>
    <row r="15" spans="1:56" ht="15" customHeight="1">
      <c r="B15" s="154">
        <v>45911</v>
      </c>
      <c r="C15" s="58">
        <v>250902</v>
      </c>
      <c r="D15" s="98" t="s">
        <v>1373</v>
      </c>
      <c r="E15" s="51" t="s">
        <v>675</v>
      </c>
      <c r="F15" s="98" t="s">
        <v>0</v>
      </c>
      <c r="G15" s="124">
        <v>-458.75</v>
      </c>
      <c r="H15" s="51" t="s">
        <v>1557</v>
      </c>
      <c r="I15" s="841">
        <f>IF(DE_CCJ[[#This Row],[HST 
Code]]="Y",DE_CCJ[[#This Row],[TOTAL]]/1.15*-0.15,0)</f>
        <v>0</v>
      </c>
      <c r="J15" s="841">
        <f>(DE_CCJ[[#This Row],[TOTAL]]+DE_CCJ[[#This Row],[HST]])*-1</f>
        <v>458.75</v>
      </c>
      <c r="K15" s="838"/>
    </row>
    <row r="16" spans="1:56" ht="15" customHeight="1">
      <c r="B16" s="154">
        <v>45911</v>
      </c>
      <c r="C16" s="58">
        <v>250903</v>
      </c>
      <c r="D16" s="98" t="s">
        <v>1373</v>
      </c>
      <c r="E16" s="51" t="s">
        <v>1138</v>
      </c>
      <c r="F16" s="98" t="s">
        <v>0</v>
      </c>
      <c r="G16" s="833">
        <v>-115</v>
      </c>
      <c r="H16" s="51" t="s">
        <v>1300</v>
      </c>
      <c r="I16" s="841">
        <f>IF(DE_CCJ[[#This Row],[HST 
Code]]="Y",DE_CCJ[[#This Row],[TOTAL]]/1.15*-0.15,0)</f>
        <v>0</v>
      </c>
      <c r="J16" s="841">
        <f>(DE_CCJ[[#This Row],[TOTAL]]+DE_CCJ[[#This Row],[HST]])*-1</f>
        <v>115</v>
      </c>
      <c r="K16" s="838"/>
    </row>
    <row r="17" spans="2:11" ht="15" customHeight="1">
      <c r="B17" s="154">
        <v>45911</v>
      </c>
      <c r="C17" s="58">
        <v>250904</v>
      </c>
      <c r="D17" s="98" t="s">
        <v>1373</v>
      </c>
      <c r="E17" s="51" t="s">
        <v>1140</v>
      </c>
      <c r="F17" s="98" t="s">
        <v>0</v>
      </c>
      <c r="G17" s="833">
        <v>-1057.8399999999999</v>
      </c>
      <c r="H17" s="51" t="s">
        <v>1287</v>
      </c>
      <c r="I17" s="841">
        <f>IF(DE_CCJ[[#This Row],[HST 
Code]]="Y",DE_CCJ[[#This Row],[TOTAL]]/1.15*-0.15,0)</f>
        <v>0</v>
      </c>
      <c r="J17" s="841">
        <f>(DE_CCJ[[#This Row],[TOTAL]]+DE_CCJ[[#This Row],[HST]])*-1</f>
        <v>1057.8399999999999</v>
      </c>
      <c r="K17" s="838"/>
    </row>
    <row r="18" spans="2:11" ht="15" customHeight="1">
      <c r="B18" s="154">
        <v>45911</v>
      </c>
      <c r="C18" s="58">
        <v>250905</v>
      </c>
      <c r="D18" s="98" t="s">
        <v>1373</v>
      </c>
      <c r="E18" s="51" t="s">
        <v>1137</v>
      </c>
      <c r="F18" s="98" t="s">
        <v>0</v>
      </c>
      <c r="G18" s="833">
        <v>-568.74</v>
      </c>
      <c r="H18" s="51" t="s">
        <v>1287</v>
      </c>
      <c r="I18" s="841">
        <f>IF(DE_CCJ[[#This Row],[HST 
Code]]="Y",DE_CCJ[[#This Row],[TOTAL]]/1.15*-0.15,0)</f>
        <v>0</v>
      </c>
      <c r="J18" s="841">
        <f>(DE_CCJ[[#This Row],[TOTAL]]+DE_CCJ[[#This Row],[HST]])*-1</f>
        <v>568.74</v>
      </c>
      <c r="K18" s="838"/>
    </row>
    <row r="19" spans="2:11" ht="15" customHeight="1">
      <c r="B19" s="154"/>
      <c r="C19" s="58"/>
      <c r="D19" s="98"/>
      <c r="E19" s="51"/>
      <c r="F19" s="98"/>
      <c r="G19" s="833"/>
      <c r="H19" s="51"/>
      <c r="I19" s="841">
        <f>IF(DE_CCJ[[#This Row],[HST 
Code]]="Y",DE_CCJ[[#This Row],[TOTAL]]/1.15*-0.15,0)</f>
        <v>0</v>
      </c>
      <c r="J19" s="841">
        <f>(DE_CCJ[[#This Row],[TOTAL]]+DE_CCJ[[#This Row],[HST]])*-1</f>
        <v>0</v>
      </c>
      <c r="K19" s="838"/>
    </row>
    <row r="20" spans="2:11" ht="15" customHeight="1">
      <c r="B20" s="154"/>
      <c r="C20" s="58"/>
      <c r="D20" s="98"/>
      <c r="E20" s="51"/>
      <c r="F20" s="98"/>
      <c r="G20" s="833"/>
      <c r="H20" s="51"/>
      <c r="I20" s="841">
        <f>IF(DE_CCJ[[#This Row],[HST 
Code]]="Y",DE_CCJ[[#This Row],[TOTAL]]/1.15*-0.15,0)</f>
        <v>0</v>
      </c>
      <c r="J20" s="841">
        <f>(DE_CCJ[[#This Row],[TOTAL]]+DE_CCJ[[#This Row],[HST]])*-1</f>
        <v>0</v>
      </c>
      <c r="K20" s="838"/>
    </row>
    <row r="21" spans="2:11" ht="15" customHeight="1">
      <c r="B21" s="154"/>
      <c r="C21" s="58"/>
      <c r="D21" s="98"/>
      <c r="E21" s="51"/>
      <c r="F21" s="98"/>
      <c r="G21" s="833"/>
      <c r="H21" s="51"/>
      <c r="I21" s="841">
        <f>IF(DE_CCJ[[#This Row],[HST 
Code]]="Y",DE_CCJ[[#This Row],[TOTAL]]/1.15*-0.15,0)</f>
        <v>0</v>
      </c>
      <c r="J21" s="841">
        <f>(DE_CCJ[[#This Row],[TOTAL]]+DE_CCJ[[#This Row],[HST]])*-1</f>
        <v>0</v>
      </c>
      <c r="K21" s="838"/>
    </row>
    <row r="22" spans="2:11" ht="15" customHeight="1">
      <c r="B22" s="154"/>
      <c r="C22" s="58"/>
      <c r="D22" s="98"/>
      <c r="E22" s="51"/>
      <c r="F22" s="98"/>
      <c r="G22" s="833"/>
      <c r="H22" s="51"/>
      <c r="I22" s="841">
        <f>IF(DE_CCJ[[#This Row],[HST 
Code]]="Y",DE_CCJ[[#This Row],[TOTAL]]/1.15*-0.15,0)</f>
        <v>0</v>
      </c>
      <c r="J22" s="841">
        <f>(DE_CCJ[[#This Row],[TOTAL]]+DE_CCJ[[#This Row],[HST]])*-1</f>
        <v>0</v>
      </c>
      <c r="K22" s="838"/>
    </row>
    <row r="23" spans="2:11" ht="15" customHeight="1">
      <c r="B23" s="934" t="s">
        <v>1634</v>
      </c>
      <c r="C23" s="935"/>
      <c r="D23" s="936"/>
      <c r="E23" s="937"/>
      <c r="F23" s="936"/>
      <c r="G23" s="938"/>
      <c r="H23" s="937"/>
      <c r="I23" s="959"/>
      <c r="J23" s="959"/>
      <c r="K23" s="838"/>
    </row>
    <row r="24" spans="2:11" ht="15" customHeight="1">
      <c r="B24" s="154"/>
      <c r="C24" s="58"/>
      <c r="D24" s="98"/>
      <c r="E24" s="51"/>
      <c r="F24" s="98"/>
      <c r="G24" s="833"/>
      <c r="H24" s="51"/>
      <c r="I24" s="834"/>
      <c r="J24" s="834"/>
      <c r="K24" s="838"/>
    </row>
    <row r="25" spans="2:11" ht="15" customHeight="1">
      <c r="B25" s="154"/>
      <c r="C25" s="58"/>
      <c r="D25" s="98"/>
      <c r="E25" s="51"/>
      <c r="F25" s="98"/>
      <c r="G25" s="833"/>
      <c r="H25" s="51"/>
      <c r="I25" s="834"/>
      <c r="J25" s="834">
        <f>SUM(J9:J24)</f>
        <v>4.5474735088646412E-13</v>
      </c>
      <c r="K25" s="838"/>
    </row>
    <row r="26" spans="2:11" ht="15" customHeight="1">
      <c r="K26" s="838"/>
    </row>
    <row r="27" spans="2:11" ht="15" customHeight="1">
      <c r="K27" s="838"/>
    </row>
    <row r="28" spans="2:11" ht="15" customHeight="1">
      <c r="K28" s="838"/>
    </row>
    <row r="29" spans="2:11" ht="15" customHeight="1">
      <c r="J29" s="3" t="s">
        <v>0</v>
      </c>
      <c r="K29" s="838"/>
    </row>
    <row r="30" spans="2:11" ht="15" customHeight="1">
      <c r="K30" s="838"/>
    </row>
    <row r="31" spans="2:11" ht="15" customHeight="1">
      <c r="K31" s="838"/>
    </row>
    <row r="32" spans="2:11" ht="15" customHeight="1">
      <c r="K32" s="838"/>
    </row>
    <row r="33" spans="11:11" ht="15" customHeight="1">
      <c r="K33" s="838"/>
    </row>
    <row r="34" spans="11:11" ht="15" customHeight="1">
      <c r="K34" s="838"/>
    </row>
    <row r="35" spans="11:11" ht="15" customHeight="1">
      <c r="K35" s="838"/>
    </row>
    <row r="36" spans="11:11" ht="15" customHeight="1">
      <c r="K36" s="838"/>
    </row>
    <row r="37" spans="11:11" ht="15" customHeight="1">
      <c r="K37" s="838"/>
    </row>
    <row r="38" spans="11:11" ht="15" customHeight="1">
      <c r="K38" s="838"/>
    </row>
    <row r="39" spans="11:11" ht="15" customHeight="1">
      <c r="K39" s="834"/>
    </row>
    <row r="40" spans="11:11" ht="15.75" customHeight="1">
      <c r="K40" s="834"/>
    </row>
    <row r="44" spans="11:11" ht="15.75" customHeight="1">
      <c r="K44" s="217"/>
    </row>
    <row r="45" spans="11:11" ht="15.75" customHeight="1">
      <c r="K45" s="217"/>
    </row>
    <row r="47" spans="11:11" ht="15.75" customHeight="1">
      <c r="K47" s="217"/>
    </row>
    <row r="51" spans="11:11" ht="15.75" customHeight="1">
      <c r="K51" s="3"/>
    </row>
  </sheetData>
  <dataConsolidate/>
  <phoneticPr fontId="55" type="noConversion"/>
  <hyperlinks>
    <hyperlink ref="A1" location="'TABLE OF CONTENTS'!A1" display="INDEX" xr:uid="{54BDFF3E-E619-41D8-A446-F16932191E14}"/>
  </hyperlink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2">
        <x14:dataValidation type="list" allowBlank="1" xr:uid="{A9B146D4-5615-4927-BF2D-E9CFE30452D6}">
          <x14:formula1>
            <xm:f>COA!$D$7:$D$169</xm:f>
          </x14:formula1>
          <xm:sqref>G26:G33 H8:H25</xm:sqref>
        </x14:dataValidation>
        <x14:dataValidation type="list" allowBlank="1" showInputMessage="1" showErrorMessage="1" xr:uid="{8DC9D73F-95C0-4724-B244-6D87A8FFE554}">
          <x14:formula1>
            <xm:f>VENDORS!$D$3:$D$13</xm:f>
          </x14:formula1>
          <xm:sqref>E11:E22</xm:sqref>
        </x14:dataValidation>
      </x14:dataValidations>
    </ext>
  </extLs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58">
    <tabColor rgb="FF0070C0"/>
    <outlinePr summaryBelow="0" summaryRight="0"/>
  </sheetPr>
  <dimension ref="A1:AD16"/>
  <sheetViews>
    <sheetView workbookViewId="0"/>
  </sheetViews>
  <sheetFormatPr defaultColWidth="12.5703125" defaultRowHeight="15.75" customHeight="1"/>
  <cols>
    <col min="2" max="2" width="11.140625" customWidth="1"/>
    <col min="3" max="3" width="21.140625" style="145" customWidth="1"/>
    <col min="4" max="4" width="7.5703125" customWidth="1"/>
    <col min="5" max="5" width="19.140625" customWidth="1"/>
    <col min="6" max="6" width="14.140625" customWidth="1"/>
    <col min="7" max="7" width="23" customWidth="1"/>
    <col min="13" max="13" width="15.140625" customWidth="1"/>
    <col min="17" max="17" width="18.7109375" customWidth="1"/>
    <col min="18" max="18" width="6.42578125" customWidth="1"/>
    <col min="19" max="19" width="15.7109375" customWidth="1"/>
    <col min="20" max="20" width="43.140625" customWidth="1"/>
  </cols>
  <sheetData>
    <row r="1" spans="1:30" ht="15.75" customHeight="1">
      <c r="A1" s="59" t="s">
        <v>1650</v>
      </c>
      <c r="C1" s="675" t="s">
        <v>1376</v>
      </c>
      <c r="E1" s="1"/>
      <c r="F1" s="1"/>
      <c r="G1" s="1"/>
      <c r="H1" s="1"/>
      <c r="I1" s="1"/>
      <c r="J1" s="1"/>
      <c r="K1" s="1"/>
      <c r="L1" s="1"/>
      <c r="M1" s="23"/>
      <c r="N1" s="1"/>
      <c r="O1" s="1"/>
      <c r="P1" s="23"/>
      <c r="Q1" s="23"/>
      <c r="R1" s="23"/>
    </row>
    <row r="2" spans="1:30" ht="15.75" customHeight="1">
      <c r="B2" s="1"/>
      <c r="C2" s="140"/>
      <c r="D2" s="1"/>
      <c r="E2" s="1"/>
      <c r="F2" s="1"/>
      <c r="G2" s="1"/>
      <c r="H2" s="1"/>
      <c r="I2" s="1"/>
      <c r="J2" s="1"/>
      <c r="K2" s="1"/>
      <c r="L2" s="1"/>
      <c r="M2" s="23"/>
      <c r="N2" s="1"/>
      <c r="O2" s="1"/>
      <c r="P2" s="23"/>
      <c r="Q2" s="23"/>
      <c r="R2" s="23"/>
    </row>
    <row r="3" spans="1:30">
      <c r="B3" s="1297" t="str">
        <f>COA!$B$2</f>
        <v>ANONYMOUS COMPANY</v>
      </c>
      <c r="C3" s="1295"/>
      <c r="D3" s="1295"/>
      <c r="E3" s="1295"/>
      <c r="F3" s="1295"/>
      <c r="G3" s="1295"/>
      <c r="H3" s="1295"/>
      <c r="I3" s="1295"/>
      <c r="J3" s="1"/>
      <c r="K3" s="1"/>
      <c r="L3" s="1"/>
      <c r="M3" s="23"/>
      <c r="N3" s="1"/>
      <c r="O3" s="1"/>
      <c r="P3" s="23"/>
      <c r="Q3" s="23"/>
      <c r="R3" s="23"/>
    </row>
    <row r="4" spans="1:30" ht="15.75" customHeight="1">
      <c r="B4" s="1297" t="s">
        <v>1376</v>
      </c>
      <c r="C4" s="1295"/>
      <c r="D4" s="1295"/>
      <c r="E4" s="1295"/>
      <c r="F4" s="1295"/>
      <c r="G4" s="1295"/>
      <c r="H4" s="1295"/>
      <c r="I4" s="1295"/>
      <c r="J4" s="1"/>
      <c r="K4" s="1"/>
      <c r="L4" s="1"/>
      <c r="M4" s="23"/>
      <c r="N4" s="1"/>
      <c r="O4" s="1"/>
      <c r="P4" s="23"/>
      <c r="Q4" s="23"/>
      <c r="R4" s="23"/>
    </row>
    <row r="5" spans="1:30" ht="15.75" customHeight="1">
      <c r="B5" s="1298" t="str">
        <f>"TRANSACTION LISTING FOR THE PERIOD ENDED "&amp;UPPER(TEXT(COA!B4,"MMMM DD, YYYY"))</f>
        <v>TRANSACTION LISTING FOR THE PERIOD ENDED DECEMBER 31, 2025</v>
      </c>
      <c r="C5" s="1298"/>
      <c r="D5" s="1298"/>
      <c r="E5" s="1298"/>
      <c r="F5" s="1298"/>
      <c r="G5" s="1298"/>
      <c r="H5" s="1298"/>
      <c r="I5" s="1298"/>
      <c r="J5" s="1298"/>
      <c r="K5" s="1"/>
      <c r="L5" s="1"/>
      <c r="M5" s="23"/>
      <c r="N5" s="1"/>
      <c r="O5" s="1"/>
      <c r="P5" s="18" t="s">
        <v>0</v>
      </c>
      <c r="Q5" s="23"/>
      <c r="R5" s="23"/>
    </row>
    <row r="6" spans="1:30" ht="15.75" customHeight="1">
      <c r="B6" s="19" t="s">
        <v>0</v>
      </c>
      <c r="C6" s="141" t="s">
        <v>187</v>
      </c>
      <c r="D6" s="1"/>
      <c r="E6" s="1"/>
      <c r="F6" s="1"/>
      <c r="G6" s="1"/>
      <c r="H6" s="1"/>
      <c r="I6" s="1"/>
      <c r="J6" s="1"/>
      <c r="K6" s="1"/>
      <c r="L6" s="1"/>
      <c r="M6" s="23"/>
      <c r="N6" s="1"/>
      <c r="O6" s="1"/>
      <c r="P6" s="23"/>
      <c r="Q6" s="23"/>
      <c r="R6" s="23"/>
    </row>
    <row r="7" spans="1:30" ht="15.75" customHeight="1">
      <c r="B7" s="19"/>
      <c r="C7" s="140"/>
      <c r="D7" s="1"/>
      <c r="E7" s="1"/>
      <c r="F7" s="1"/>
      <c r="G7" s="1"/>
      <c r="H7" s="1"/>
      <c r="I7" s="1"/>
      <c r="J7" s="1"/>
      <c r="K7" s="1"/>
      <c r="L7" s="1"/>
      <c r="M7" s="23"/>
      <c r="N7" s="1"/>
      <c r="O7" s="1"/>
      <c r="P7" s="23"/>
      <c r="Q7" s="23"/>
      <c r="R7" s="23"/>
    </row>
    <row r="9" spans="1:30" ht="15.75" customHeight="1">
      <c r="B9" s="135" t="s">
        <v>188</v>
      </c>
      <c r="C9" s="142" t="s">
        <v>7</v>
      </c>
      <c r="D9" s="72" t="s">
        <v>157</v>
      </c>
      <c r="E9" s="72" t="s">
        <v>189</v>
      </c>
      <c r="F9" s="72" t="s">
        <v>152</v>
      </c>
      <c r="G9" s="72" t="s">
        <v>155</v>
      </c>
      <c r="H9" s="72" t="s">
        <v>190</v>
      </c>
      <c r="I9" s="72" t="s">
        <v>49</v>
      </c>
      <c r="J9" s="72" t="s">
        <v>191</v>
      </c>
      <c r="K9" s="72" t="s">
        <v>192</v>
      </c>
      <c r="L9" s="72" t="s">
        <v>193</v>
      </c>
      <c r="M9" s="72" t="s">
        <v>41</v>
      </c>
      <c r="N9" s="73" t="s">
        <v>194</v>
      </c>
      <c r="O9" s="74" t="s">
        <v>195</v>
      </c>
      <c r="P9" s="74" t="s">
        <v>196</v>
      </c>
      <c r="Q9" s="75" t="s">
        <v>153</v>
      </c>
      <c r="R9" s="71"/>
      <c r="S9" s="71"/>
      <c r="T9" s="23"/>
      <c r="U9" s="23"/>
    </row>
    <row r="10" spans="1:30" ht="15.75" hidden="1" customHeight="1">
      <c r="B10" s="17" t="s">
        <v>0</v>
      </c>
      <c r="C10" s="143">
        <v>45658</v>
      </c>
      <c r="D10" s="17">
        <f>MONTH(C10)</f>
        <v>1</v>
      </c>
      <c r="E10" s="23" t="e">
        <f>VLOOKUP(B10,STAFF!B7:D15,3,0)</f>
        <v>#N/A</v>
      </c>
      <c r="F10" s="120">
        <v>0</v>
      </c>
      <c r="G10" s="118">
        <v>0</v>
      </c>
      <c r="H10" s="118">
        <f>WAGE_J[[#This Row],[Bonus]]+WAGE_J[[#This Row],[Wage]]</f>
        <v>0</v>
      </c>
      <c r="I10" s="118">
        <f>WAGE_J[[#This Row],[Gross]]*0.03</f>
        <v>0</v>
      </c>
      <c r="J10" s="118">
        <f>WAGE_J[[#This Row],[Gross]]*0.04</f>
        <v>0</v>
      </c>
      <c r="K10" s="118">
        <f>WAGE_J[[#This Row],[Gross]]*0.15</f>
        <v>0</v>
      </c>
      <c r="L10" s="118">
        <f>WAGE_J[[#This Row],[Gross]]*0.075</f>
        <v>0</v>
      </c>
      <c r="M10" s="118">
        <v>0</v>
      </c>
      <c r="N10" s="118">
        <f>WAGE_J[[#This Row],[Gross]]-WAGE_J[[#This Row],[CPP]]-WAGE_J[[#This Row],[EI]]-WAGE_J[[#This Row],[Tax Fed]]-WAGE_J[[#This Row],[Tax Prov]]-WAGE_J[[#This Row],[Other]]</f>
        <v>0</v>
      </c>
      <c r="O10" s="118">
        <f>WAGE_J[[#This Row],[CPP]]</f>
        <v>0</v>
      </c>
      <c r="P10" s="118">
        <f>WAGE_J[[#This Row],[EI]]*1.4</f>
        <v>0</v>
      </c>
      <c r="Q10" s="118">
        <f>WAGE_J[[#This Row],[CPP]]+WAGE_J[[#This Row],[EI]]+WAGE_J[[#This Row],[Tax Fed]]+WAGE_J[[#This Row],[Tax Prov]]+WAGE_J[[#This Row],[Exp EI]]+WAGE_J[[#This Row],[Exp CPP]]</f>
        <v>0</v>
      </c>
      <c r="R10" s="71"/>
      <c r="S10" s="71"/>
      <c r="T10" s="23"/>
      <c r="U10" s="23"/>
    </row>
    <row r="11" spans="1:30" ht="15.75" customHeight="1">
      <c r="B11" s="17">
        <v>1</v>
      </c>
      <c r="C11" s="143">
        <v>45899</v>
      </c>
      <c r="D11" s="1062">
        <f>MONTH(C11)</f>
        <v>8</v>
      </c>
      <c r="E11" s="1051" t="str">
        <f>VLOOKUP(B11,STAFF!B8:D16,3,0)</f>
        <v xml:space="preserve"> FRED BLOGGS</v>
      </c>
      <c r="F11" s="120">
        <v>1000</v>
      </c>
      <c r="G11" s="118">
        <v>2500</v>
      </c>
      <c r="H11" s="1061">
        <f>WAGE_J[[#This Row],[Bonus]]+WAGE_J[[#This Row],[Wage]]</f>
        <v>3500</v>
      </c>
      <c r="I11" s="118">
        <f>WAGE_J[[#This Row],[Gross]]*0.03</f>
        <v>105</v>
      </c>
      <c r="J11" s="118">
        <f>WAGE_J[[#This Row],[Gross]]*0.04</f>
        <v>140</v>
      </c>
      <c r="K11" s="118">
        <f>WAGE_J[[#This Row],[Gross]]*0.15</f>
        <v>525</v>
      </c>
      <c r="L11" s="118">
        <f>WAGE_J[[#This Row],[Gross]]*0.075</f>
        <v>262.5</v>
      </c>
      <c r="M11" s="118">
        <v>10</v>
      </c>
      <c r="N11" s="1061">
        <f>WAGE_J[[#This Row],[Gross]]-WAGE_J[[#This Row],[CPP]]-WAGE_J[[#This Row],[EI]]-WAGE_J[[#This Row],[Tax Fed]]-WAGE_J[[#This Row],[Tax Prov]]-WAGE_J[[#This Row],[Other]]</f>
        <v>2457.5</v>
      </c>
      <c r="O11" s="1061">
        <f>WAGE_J[[#This Row],[CPP]]</f>
        <v>105</v>
      </c>
      <c r="P11" s="1061">
        <f>WAGE_J[[#This Row],[EI]]*1.4</f>
        <v>196</v>
      </c>
      <c r="Q11" s="1061">
        <f>WAGE_J[[#This Row],[CPP]]+WAGE_J[[#This Row],[EI]]+WAGE_J[[#This Row],[Tax Fed]]+WAGE_J[[#This Row],[Tax Prov]]+WAGE_J[[#This Row],[Exp EI]]+WAGE_J[[#This Row],[Exp CPP]]</f>
        <v>1333.5</v>
      </c>
      <c r="R11" s="23"/>
      <c r="S11" s="117"/>
      <c r="T11" s="854"/>
      <c r="U11" s="23"/>
      <c r="V11" s="63"/>
      <c r="W11" s="63"/>
      <c r="X11" s="63"/>
      <c r="Y11" s="63"/>
      <c r="Z11" s="63"/>
      <c r="AA11" s="63"/>
      <c r="AB11" s="63"/>
    </row>
    <row r="12" spans="1:30" ht="15.75" customHeight="1">
      <c r="B12" s="17">
        <v>2</v>
      </c>
      <c r="C12" s="143">
        <v>45899</v>
      </c>
      <c r="D12" s="1062">
        <f>MONTH(C12)</f>
        <v>8</v>
      </c>
      <c r="E12" s="1051" t="str">
        <f>VLOOKUP(B12,STAFF!B9:D17,3,0)</f>
        <v>JUNCTIA BLOGGS</v>
      </c>
      <c r="F12" s="120">
        <v>1000</v>
      </c>
      <c r="G12" s="118">
        <v>2500</v>
      </c>
      <c r="H12" s="1061">
        <f>WAGE_J[[#This Row],[Bonus]]+WAGE_J[[#This Row],[Wage]]</f>
        <v>3500</v>
      </c>
      <c r="I12" s="118">
        <f>WAGE_J[[#This Row],[Gross]]*0.03</f>
        <v>105</v>
      </c>
      <c r="J12" s="118">
        <f>WAGE_J[[#This Row],[Gross]]*0.04</f>
        <v>140</v>
      </c>
      <c r="K12" s="118">
        <f>WAGE_J[[#This Row],[Gross]]*0.15</f>
        <v>525</v>
      </c>
      <c r="L12" s="118">
        <f>WAGE_J[[#This Row],[Gross]]*0.075</f>
        <v>262.5</v>
      </c>
      <c r="M12" s="118">
        <v>10</v>
      </c>
      <c r="N12" s="1061">
        <f>WAGE_J[[#This Row],[Gross]]-WAGE_J[[#This Row],[CPP]]-WAGE_J[[#This Row],[EI]]-WAGE_J[[#This Row],[Tax Fed]]-WAGE_J[[#This Row],[Tax Prov]]-WAGE_J[[#This Row],[Other]]</f>
        <v>2457.5</v>
      </c>
      <c r="O12" s="1061">
        <f>WAGE_J[[#This Row],[CPP]]</f>
        <v>105</v>
      </c>
      <c r="P12" s="1061">
        <f>WAGE_J[[#This Row],[EI]]*1.4</f>
        <v>196</v>
      </c>
      <c r="Q12" s="1061">
        <f>WAGE_J[[#This Row],[CPP]]+WAGE_J[[#This Row],[EI]]+WAGE_J[[#This Row],[Tax Fed]]+WAGE_J[[#This Row],[Tax Prov]]+WAGE_J[[#This Row],[Exp EI]]+WAGE_J[[#This Row],[Exp CPP]]</f>
        <v>1333.5</v>
      </c>
      <c r="R12" s="23"/>
      <c r="S12" s="117"/>
      <c r="T12" s="63"/>
      <c r="U12" s="23"/>
      <c r="AD12" s="1" t="s">
        <v>0</v>
      </c>
    </row>
    <row r="13" spans="1:30" ht="15.75" customHeight="1">
      <c r="B13" s="17" t="s">
        <v>0</v>
      </c>
      <c r="C13" s="143"/>
      <c r="D13" s="1062"/>
      <c r="E13" s="1051"/>
      <c r="F13" s="120">
        <v>0</v>
      </c>
      <c r="G13" s="118">
        <v>0</v>
      </c>
      <c r="H13" s="1061">
        <f>WAGE_J[[#This Row],[Bonus]]+WAGE_J[[#This Row],[Wage]]</f>
        <v>0</v>
      </c>
      <c r="I13" s="118">
        <f>WAGE_J[[#This Row],[Gross]]*0.03</f>
        <v>0</v>
      </c>
      <c r="J13" s="118">
        <f>WAGE_J[[#This Row],[Gross]]*0.04</f>
        <v>0</v>
      </c>
      <c r="K13" s="118">
        <f>WAGE_J[[#This Row],[Gross]]*0.15</f>
        <v>0</v>
      </c>
      <c r="L13" s="118">
        <f>WAGE_J[[#This Row],[Gross]]*0.075</f>
        <v>0</v>
      </c>
      <c r="M13" s="118"/>
      <c r="N13" s="1061">
        <f>WAGE_J[[#This Row],[Gross]]-WAGE_J[[#This Row],[CPP]]-WAGE_J[[#This Row],[EI]]-WAGE_J[[#This Row],[Tax Fed]]-WAGE_J[[#This Row],[Tax Prov]]-WAGE_J[[#This Row],[Other]]</f>
        <v>0</v>
      </c>
      <c r="O13" s="1061">
        <f>WAGE_J[[#This Row],[CPP]]</f>
        <v>0</v>
      </c>
      <c r="P13" s="1061">
        <f>WAGE_J[[#This Row],[EI]]*1.4</f>
        <v>0</v>
      </c>
      <c r="Q13" s="1061">
        <f>WAGE_J[[#This Row],[CPP]]+WAGE_J[[#This Row],[EI]]+WAGE_J[[#This Row],[Tax Fed]]+WAGE_J[[#This Row],[Tax Prov]]+WAGE_J[[#This Row],[Exp EI]]+WAGE_J[[#This Row],[Exp CPP]]</f>
        <v>0</v>
      </c>
      <c r="R13" s="23"/>
      <c r="S13" s="117"/>
      <c r="T13" s="63"/>
      <c r="U13" s="23"/>
    </row>
    <row r="14" spans="1:30" ht="15.75" customHeight="1">
      <c r="B14" s="17" t="s">
        <v>0</v>
      </c>
      <c r="C14" s="143"/>
      <c r="D14" s="1062"/>
      <c r="E14" s="1051"/>
      <c r="F14" s="120">
        <v>0</v>
      </c>
      <c r="G14" s="118">
        <v>0</v>
      </c>
      <c r="H14" s="1061">
        <f>WAGE_J[[#This Row],[Bonus]]+WAGE_J[[#This Row],[Wage]]</f>
        <v>0</v>
      </c>
      <c r="I14" s="118">
        <f>WAGE_J[[#This Row],[Gross]]*0.03</f>
        <v>0</v>
      </c>
      <c r="J14" s="118">
        <f>WAGE_J[[#This Row],[Gross]]*0.04</f>
        <v>0</v>
      </c>
      <c r="K14" s="118">
        <f>WAGE_J[[#This Row],[Gross]]*0.15</f>
        <v>0</v>
      </c>
      <c r="L14" s="118">
        <f>WAGE_J[[#This Row],[Gross]]*0.075</f>
        <v>0</v>
      </c>
      <c r="M14" s="118"/>
      <c r="N14" s="1061">
        <f>WAGE_J[[#This Row],[Gross]]-WAGE_J[[#This Row],[CPP]]-WAGE_J[[#This Row],[EI]]-WAGE_J[[#This Row],[Tax Fed]]-WAGE_J[[#This Row],[Tax Prov]]-WAGE_J[[#This Row],[Other]]</f>
        <v>0</v>
      </c>
      <c r="O14" s="1061">
        <f>WAGE_J[[#This Row],[CPP]]</f>
        <v>0</v>
      </c>
      <c r="P14" s="1061">
        <f>WAGE_J[[#This Row],[EI]]*1.4</f>
        <v>0</v>
      </c>
      <c r="Q14" s="1061">
        <f>WAGE_J[[#This Row],[CPP]]+WAGE_J[[#This Row],[EI]]+WAGE_J[[#This Row],[Tax Fed]]+WAGE_J[[#This Row],[Tax Prov]]+WAGE_J[[#This Row],[Exp EI]]+WAGE_J[[#This Row],[Exp CPP]]</f>
        <v>0</v>
      </c>
      <c r="R14" s="23"/>
      <c r="S14" s="117"/>
      <c r="T14" s="63"/>
      <c r="U14" s="23"/>
    </row>
    <row r="15" spans="1:30" ht="15.75" customHeight="1">
      <c r="B15" s="17" t="s">
        <v>0</v>
      </c>
      <c r="C15" s="143"/>
      <c r="D15" s="1062"/>
      <c r="E15" s="1051"/>
      <c r="F15" s="120">
        <v>0</v>
      </c>
      <c r="G15" s="118">
        <v>0</v>
      </c>
      <c r="H15" s="1061">
        <f>WAGE_J[[#This Row],[Bonus]]+WAGE_J[[#This Row],[Wage]]</f>
        <v>0</v>
      </c>
      <c r="I15" s="118">
        <f>WAGE_J[[#This Row],[Gross]]*0.03</f>
        <v>0</v>
      </c>
      <c r="J15" s="118">
        <f>WAGE_J[[#This Row],[Gross]]*0.04</f>
        <v>0</v>
      </c>
      <c r="K15" s="118">
        <f>WAGE_J[[#This Row],[Gross]]*0.15</f>
        <v>0</v>
      </c>
      <c r="L15" s="118">
        <f>WAGE_J[[#This Row],[Gross]]*0.075</f>
        <v>0</v>
      </c>
      <c r="M15" s="118"/>
      <c r="N15" s="1061">
        <f>WAGE_J[[#This Row],[Gross]]-WAGE_J[[#This Row],[CPP]]-WAGE_J[[#This Row],[EI]]-WAGE_J[[#This Row],[Tax Fed]]-WAGE_J[[#This Row],[Tax Prov]]-WAGE_J[[#This Row],[Other]]</f>
        <v>0</v>
      </c>
      <c r="O15" s="1061">
        <f>WAGE_J[[#This Row],[CPP]]</f>
        <v>0</v>
      </c>
      <c r="P15" s="1061">
        <f>WAGE_J[[#This Row],[EI]]*1.4</f>
        <v>0</v>
      </c>
      <c r="Q15" s="1061">
        <f>WAGE_J[[#This Row],[CPP]]+WAGE_J[[#This Row],[EI]]+WAGE_J[[#This Row],[Tax Fed]]+WAGE_J[[#This Row],[Tax Prov]]+WAGE_J[[#This Row],[Exp EI]]+WAGE_J[[#This Row],[Exp CPP]]</f>
        <v>0</v>
      </c>
      <c r="R15" s="23"/>
      <c r="S15" s="117"/>
      <c r="T15" s="63"/>
      <c r="U15" s="23"/>
    </row>
    <row r="16" spans="1:30" ht="15.75" customHeight="1">
      <c r="B16" s="17" t="s">
        <v>0</v>
      </c>
      <c r="C16" s="143"/>
      <c r="D16" s="1062"/>
      <c r="E16" s="1051"/>
      <c r="F16" s="120">
        <v>0</v>
      </c>
      <c r="G16" s="118">
        <v>0</v>
      </c>
      <c r="H16" s="1061">
        <f>WAGE_J[[#This Row],[Bonus]]+WAGE_J[[#This Row],[Wage]]</f>
        <v>0</v>
      </c>
      <c r="I16" s="118">
        <f>WAGE_J[[#This Row],[Gross]]*0.03</f>
        <v>0</v>
      </c>
      <c r="J16" s="118">
        <f>WAGE_J[[#This Row],[Gross]]*0.04</f>
        <v>0</v>
      </c>
      <c r="K16" s="118">
        <f>WAGE_J[[#This Row],[Gross]]*0.15</f>
        <v>0</v>
      </c>
      <c r="L16" s="118">
        <f>WAGE_J[[#This Row],[Gross]]*0.075</f>
        <v>0</v>
      </c>
      <c r="M16" s="118"/>
      <c r="N16" s="1061">
        <f>WAGE_J[[#This Row],[Gross]]-WAGE_J[[#This Row],[CPP]]-WAGE_J[[#This Row],[EI]]-WAGE_J[[#This Row],[Tax Fed]]-WAGE_J[[#This Row],[Tax Prov]]-WAGE_J[[#This Row],[Other]]</f>
        <v>0</v>
      </c>
      <c r="O16" s="1061">
        <f>WAGE_J[[#This Row],[CPP]]</f>
        <v>0</v>
      </c>
      <c r="P16" s="1061">
        <f>WAGE_J[[#This Row],[EI]]*1.4</f>
        <v>0</v>
      </c>
      <c r="Q16" s="1061">
        <f>WAGE_J[[#This Row],[CPP]]+WAGE_J[[#This Row],[EI]]+WAGE_J[[#This Row],[Tax Fed]]+WAGE_J[[#This Row],[Tax Prov]]+WAGE_J[[#This Row],[Exp EI]]+WAGE_J[[#This Row],[Exp CPP]]</f>
        <v>0</v>
      </c>
      <c r="R16" s="23"/>
      <c r="S16" s="23"/>
      <c r="T16" s="23"/>
      <c r="U16" s="23"/>
    </row>
  </sheetData>
  <mergeCells count="3">
    <mergeCell ref="B3:I3"/>
    <mergeCell ref="B5:J5"/>
    <mergeCell ref="B4:I4"/>
  </mergeCells>
  <phoneticPr fontId="50" type="noConversion"/>
  <hyperlinks>
    <hyperlink ref="C6" r:id="rId1" xr:uid="{3050E206-439F-4944-8B18-7619184CB26F}"/>
    <hyperlink ref="A1" location="'TABLE OF CONTENTS'!A1" display="INDEX" xr:uid="{60A3EF0C-1395-4793-9BBC-88941D52951A}"/>
  </hyperlinks>
  <pageMargins left="0.7" right="0.7" top="0.75" bottom="0.75" header="0.3" footer="0.3"/>
  <pageSetup orientation="portrait"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AAEB9DC4-159F-44BF-B5D7-A832804BDE1C}">
          <x14:formula1>
            <xm:f>STAFF!$B$8:$B$22</xm:f>
          </x14:formula1>
          <xm:sqref>B10:B16</xm:sqref>
        </x14:dataValidation>
      </x14:dataValidations>
    </ext>
  </extLs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97DCB-743C-46A7-9CFD-E5F9851E2A94}">
  <sheetPr codeName="Sheet62">
    <tabColor rgb="FF0070C0"/>
    <outlinePr summaryBelow="0" summaryRight="0"/>
  </sheetPr>
  <dimension ref="A1:U40"/>
  <sheetViews>
    <sheetView workbookViewId="0"/>
  </sheetViews>
  <sheetFormatPr defaultColWidth="12.5703125" defaultRowHeight="15.75" customHeight="1"/>
  <cols>
    <col min="2" max="2" width="11.140625" customWidth="1"/>
    <col min="3" max="3" width="21.140625" style="145" customWidth="1"/>
    <col min="4" max="4" width="19.140625" customWidth="1"/>
    <col min="5" max="5" width="14.140625" customWidth="1"/>
    <col min="6" max="6" width="23" customWidth="1"/>
    <col min="12" max="12" width="15.140625" customWidth="1"/>
    <col min="16" max="16" width="18.7109375" customWidth="1"/>
    <col min="17" max="17" width="6.42578125" customWidth="1"/>
    <col min="18" max="18" width="15.7109375" customWidth="1"/>
    <col min="19" max="19" width="43.140625" customWidth="1"/>
  </cols>
  <sheetData>
    <row r="1" spans="1:18" ht="15.75" customHeight="1">
      <c r="A1" s="59" t="s">
        <v>1650</v>
      </c>
      <c r="C1" s="675" t="s">
        <v>1618</v>
      </c>
      <c r="D1" s="1"/>
      <c r="E1" s="1"/>
      <c r="F1" s="1"/>
      <c r="G1" s="1"/>
      <c r="H1" s="1"/>
      <c r="I1" s="1"/>
      <c r="J1" s="1"/>
      <c r="K1" s="1"/>
      <c r="L1" s="23"/>
      <c r="M1" s="1"/>
      <c r="N1" s="1"/>
      <c r="O1" s="23"/>
      <c r="P1" s="23"/>
      <c r="Q1" s="23"/>
    </row>
    <row r="2" spans="1:18" ht="15.75" customHeight="1">
      <c r="B2" s="1"/>
      <c r="C2" s="140"/>
      <c r="D2" s="1"/>
      <c r="E2" s="1"/>
      <c r="F2" s="1"/>
      <c r="G2" s="1"/>
      <c r="H2" s="1"/>
      <c r="I2" s="1"/>
      <c r="J2" s="1"/>
      <c r="K2" s="1"/>
      <c r="L2" s="23"/>
      <c r="M2" s="1"/>
      <c r="N2" s="1"/>
      <c r="O2" s="23"/>
      <c r="P2" s="23"/>
      <c r="Q2" s="23"/>
    </row>
    <row r="3" spans="1:18">
      <c r="B3" s="1297" t="str">
        <f>COA!$B$2</f>
        <v>ANONYMOUS COMPANY</v>
      </c>
      <c r="C3" s="1295"/>
      <c r="D3" s="1295"/>
      <c r="E3" s="1295"/>
      <c r="F3" s="1295"/>
      <c r="G3" s="1295"/>
      <c r="H3" s="1295"/>
      <c r="I3" s="1"/>
      <c r="J3" s="1"/>
      <c r="K3" s="1"/>
      <c r="L3" s="23"/>
      <c r="M3" s="1"/>
      <c r="N3" s="1"/>
      <c r="O3" s="23"/>
      <c r="P3" s="23"/>
      <c r="Q3" s="23"/>
    </row>
    <row r="4" spans="1:18" ht="15.75" customHeight="1">
      <c r="B4" s="1297" t="s">
        <v>1618</v>
      </c>
      <c r="C4" s="1295"/>
      <c r="D4" s="1295"/>
      <c r="E4" s="1295"/>
      <c r="F4" s="1295"/>
      <c r="G4" s="1295"/>
      <c r="H4" s="1295"/>
      <c r="I4" s="1"/>
      <c r="J4" s="1"/>
      <c r="K4" s="1"/>
      <c r="L4" s="23"/>
      <c r="M4" s="1"/>
      <c r="N4" s="1"/>
      <c r="O4" s="23"/>
      <c r="P4" s="23"/>
      <c r="Q4" s="23"/>
    </row>
    <row r="5" spans="1:18" ht="15.75" customHeight="1">
      <c r="B5" s="1298" t="str">
        <f>"TRANSACTION LISTING FOR THE PERIOD ENDED "&amp;UPPER(TEXT(COA!B4,"MMMM DD, YYYY"))</f>
        <v>TRANSACTION LISTING FOR THE PERIOD ENDED DECEMBER 31, 2025</v>
      </c>
      <c r="C5" s="1298"/>
      <c r="D5" s="1298"/>
      <c r="E5" s="1298"/>
      <c r="F5" s="1298"/>
      <c r="G5" s="1298"/>
      <c r="H5" s="1298"/>
      <c r="I5" s="1298"/>
      <c r="J5" s="1"/>
      <c r="K5" s="1"/>
      <c r="L5" s="23"/>
      <c r="M5" s="1"/>
      <c r="N5" s="1"/>
      <c r="O5" s="18" t="s">
        <v>0</v>
      </c>
      <c r="P5" s="23"/>
      <c r="Q5" s="23"/>
    </row>
    <row r="6" spans="1:18" ht="15.75" customHeight="1">
      <c r="B6" s="19" t="s">
        <v>0</v>
      </c>
      <c r="C6" s="141" t="s">
        <v>187</v>
      </c>
      <c r="D6" s="1"/>
      <c r="E6" s="1"/>
      <c r="F6" s="1"/>
      <c r="G6" s="1"/>
      <c r="H6" s="1"/>
      <c r="I6" s="1"/>
      <c r="J6" s="1"/>
      <c r="K6" s="1"/>
      <c r="L6" s="23"/>
      <c r="M6" s="1"/>
      <c r="N6" s="1"/>
      <c r="O6" s="23"/>
      <c r="P6" s="23"/>
      <c r="Q6" s="23"/>
    </row>
    <row r="7" spans="1:18" ht="15.75" customHeight="1">
      <c r="B7" s="19"/>
      <c r="C7" s="140"/>
      <c r="D7" s="1"/>
      <c r="E7" s="1"/>
      <c r="F7" s="1"/>
      <c r="G7" s="1"/>
      <c r="H7" s="1"/>
      <c r="I7" s="1"/>
      <c r="J7" s="1"/>
      <c r="K7" s="1"/>
      <c r="L7" s="23"/>
      <c r="M7" s="1"/>
      <c r="N7" s="1"/>
      <c r="O7" s="23"/>
      <c r="P7" s="23"/>
      <c r="Q7" s="23"/>
    </row>
    <row r="8" spans="1:18" ht="12.75">
      <c r="B8" s="70" t="s">
        <v>40</v>
      </c>
      <c r="C8" s="144" t="s">
        <v>7</v>
      </c>
      <c r="D8" s="72" t="s">
        <v>152</v>
      </c>
      <c r="E8" s="72" t="s">
        <v>155</v>
      </c>
      <c r="F8" s="72" t="s">
        <v>190</v>
      </c>
      <c r="G8" s="72" t="s">
        <v>49</v>
      </c>
      <c r="H8" s="72" t="s">
        <v>191</v>
      </c>
      <c r="I8" s="72" t="s">
        <v>192</v>
      </c>
      <c r="J8" s="72" t="s">
        <v>193</v>
      </c>
      <c r="K8" s="72" t="s">
        <v>41</v>
      </c>
      <c r="L8" s="73" t="s">
        <v>197</v>
      </c>
      <c r="M8" s="74" t="s">
        <v>195</v>
      </c>
      <c r="N8" s="74" t="s">
        <v>196</v>
      </c>
      <c r="O8" s="75" t="s">
        <v>153</v>
      </c>
      <c r="P8" s="71" t="s">
        <v>44</v>
      </c>
      <c r="Q8" s="71" t="s">
        <v>185</v>
      </c>
      <c r="R8" s="71" t="s">
        <v>198</v>
      </c>
    </row>
    <row r="9" spans="1:18" ht="15.75" customHeight="1">
      <c r="B9" s="3" t="s">
        <v>199</v>
      </c>
      <c r="D9" s="994" t="s">
        <v>84</v>
      </c>
      <c r="E9" s="994" t="s">
        <v>93</v>
      </c>
      <c r="F9" s="995"/>
      <c r="G9" s="995"/>
      <c r="H9" s="995"/>
      <c r="I9" s="995"/>
      <c r="J9" s="995"/>
      <c r="K9" s="995"/>
      <c r="L9" s="994" t="s">
        <v>85</v>
      </c>
      <c r="M9" s="995"/>
      <c r="N9" s="995"/>
      <c r="O9" s="994" t="s">
        <v>86</v>
      </c>
      <c r="P9" s="995"/>
      <c r="Q9" s="995"/>
      <c r="R9" s="994" t="s">
        <v>94</v>
      </c>
    </row>
    <row r="10" spans="1:18" ht="15.75" customHeight="1">
      <c r="B10" s="3">
        <v>1</v>
      </c>
      <c r="C10" s="146">
        <v>45322</v>
      </c>
      <c r="D10" s="996">
        <f>DSUM(WJ!$D$9:$Q$16,3,$B$9:B10)-SUM($D$9:D9)</f>
        <v>0</v>
      </c>
      <c r="E10" s="996">
        <f>DSUM(WJ!$D$9:$Q$16,4,$B$9:B10)-SUM($E$9:E9)</f>
        <v>0</v>
      </c>
      <c r="F10" s="996">
        <f>DSUM(WJ!$D$9:$Q$16,5,$B$9:B10)-SUM($F$9:F9)</f>
        <v>0</v>
      </c>
      <c r="G10" s="996">
        <f>DSUM(WJ!$D$9:$Q$16,6,$B$9:B10)-SUM($G$9:G9)</f>
        <v>0</v>
      </c>
      <c r="H10" s="996">
        <f>DSUM(WJ!$D$9:$Q$16,7,$B$9:B10)-SUM($H$9:H9)</f>
        <v>0</v>
      </c>
      <c r="I10" s="996">
        <f>DSUM(WJ!$D$9:$Q$16,8,$B$9:B10)-SUM($I$9:I9)</f>
        <v>0</v>
      </c>
      <c r="J10" s="996">
        <f>DSUM(WJ!$D$9:$Q$16,9,$B$9:B10)-SUM($J$9:J9)</f>
        <v>0</v>
      </c>
      <c r="K10" s="996">
        <f>DSUM(WJ!$D$9:$Q$16,10,$B$9:B10)-SUM($K$9:K9)</f>
        <v>0</v>
      </c>
      <c r="L10" s="996">
        <f>DSUM(WJ!$D$9:$Q$16,11,$B$9:B10)-SUM($L$9:L9)</f>
        <v>0</v>
      </c>
      <c r="M10" s="996">
        <f>DSUM(WJ!$D$9:$Q$16,12,$B$9:B10)-SUM($M$9:M9)</f>
        <v>0</v>
      </c>
      <c r="N10" s="996">
        <f>DSUM(WJ!$D$9:$Q$16,13,$B$9:B10)-SUM($N$9:N9)</f>
        <v>0</v>
      </c>
      <c r="O10" s="996">
        <f>DSUM(WJ!$D$9:$Q$16,14,$B$9:B10)-SUM($O$9:O9)</f>
        <v>0</v>
      </c>
      <c r="P10" s="995"/>
      <c r="Q10" s="995"/>
      <c r="R10" s="997">
        <f>M10+N10</f>
        <v>0</v>
      </c>
    </row>
    <row r="11" spans="1:18" ht="15.75" customHeight="1">
      <c r="B11">
        <v>2</v>
      </c>
      <c r="C11" s="147">
        <v>45350</v>
      </c>
      <c r="D11" s="996">
        <f>DSUM(WJ!$D$9:$Q$16,3,$B$9:B11)-SUM($D$9:D10)</f>
        <v>0</v>
      </c>
      <c r="E11" s="996">
        <f>DSUM(WJ!$D$9:$Q$16,4,$B$9:B11)-SUM($E$9:E10)</f>
        <v>0</v>
      </c>
      <c r="F11" s="996">
        <f>DSUM(WJ!$D$9:$Q$16,5,$B$9:B11)-SUM($F$9:F10)</f>
        <v>0</v>
      </c>
      <c r="G11" s="996">
        <f>DSUM(WJ!$D$9:$Q$16,6,$B$9:B11)-SUM($G$9:G10)</f>
        <v>0</v>
      </c>
      <c r="H11" s="996">
        <f>DSUM(WJ!$D$9:$Q$16,7,$B$9:B11)-SUM($H$9:H10)</f>
        <v>0</v>
      </c>
      <c r="I11" s="996">
        <f>DSUM(WJ!$D$9:$Q$16,8,$B$9:B11)-SUM($I$9:I10)</f>
        <v>0</v>
      </c>
      <c r="J11" s="996">
        <f>DSUM(WJ!$D$9:$Q$16,9,$B$9:B11)-SUM($J$9:J10)</f>
        <v>0</v>
      </c>
      <c r="K11" s="996">
        <f>DSUM(WJ!$D$9:$Q$16,10,$B$9:B11)-SUM($K$9:K10)</f>
        <v>0</v>
      </c>
      <c r="L11" s="996">
        <f>DSUM(WJ!$D$9:$Q$16,11,$B$9:B11)-SUM($L$9:L10)</f>
        <v>0</v>
      </c>
      <c r="M11" s="996">
        <f>DSUM(WJ!$D$9:$Q$16,12,$B$9:B11)-SUM($M$9:M10)</f>
        <v>0</v>
      </c>
      <c r="N11" s="996">
        <f>DSUM(WJ!$D$9:$Q$16,13,$B$9:B11)-SUM($N$9:N10)</f>
        <v>0</v>
      </c>
      <c r="O11" s="996">
        <f>DSUM(WJ!$D$9:$Q$16,14,$B$9:B11)-SUM($O$9:O10)</f>
        <v>0</v>
      </c>
      <c r="P11" s="995"/>
      <c r="Q11" s="995"/>
      <c r="R11" s="997">
        <f t="shared" ref="R11:R21" si="0">M11+N11</f>
        <v>0</v>
      </c>
    </row>
    <row r="12" spans="1:18" ht="15.75" customHeight="1">
      <c r="B12">
        <v>3</v>
      </c>
      <c r="C12" s="147">
        <v>45382</v>
      </c>
      <c r="D12" s="996">
        <f>DSUM(WJ!$D$9:$Q$16,3,$B$9:B12)-SUM($D$9:D11)</f>
        <v>0</v>
      </c>
      <c r="E12" s="996">
        <f>DSUM(WJ!$D$9:$Q$16,4,$B$9:B12)-SUM($E$9:E11)</f>
        <v>0</v>
      </c>
      <c r="F12" s="996">
        <f>DSUM(WJ!$D$9:$Q$16,5,$B$9:B12)-SUM($F$9:F11)</f>
        <v>0</v>
      </c>
      <c r="G12" s="996">
        <f>DSUM(WJ!$D$9:$Q$16,6,$B$9:B12)-SUM($G$9:G11)</f>
        <v>0</v>
      </c>
      <c r="H12" s="996">
        <f>DSUM(WJ!$D$9:$Q$16,7,$B$9:B12)-SUM($H$9:H11)</f>
        <v>0</v>
      </c>
      <c r="I12" s="996">
        <f>DSUM(WJ!$D$9:$Q$16,8,$B$9:B12)-SUM($I$9:I11)</f>
        <v>0</v>
      </c>
      <c r="J12" s="996">
        <f>DSUM(WJ!$D$9:$Q$16,9,$B$9:B12)-SUM($J$9:J11)</f>
        <v>0</v>
      </c>
      <c r="K12" s="996">
        <f>DSUM(WJ!$D$9:$Q$16,10,$B$9:B12)-SUM($K$9:K11)</f>
        <v>0</v>
      </c>
      <c r="L12" s="996">
        <f>DSUM(WJ!$D$9:$Q$16,11,$B$9:B12)-SUM($L$9:L11)</f>
        <v>0</v>
      </c>
      <c r="M12" s="996">
        <f>DSUM(WJ!$D$9:$Q$16,12,$B$9:B12)-SUM($M$9:M11)</f>
        <v>0</v>
      </c>
      <c r="N12" s="996">
        <f>DSUM(WJ!$D$9:$Q$16,13,$B$9:B12)-SUM($N$9:N11)</f>
        <v>0</v>
      </c>
      <c r="O12" s="996">
        <f>DSUM(WJ!$D$9:$Q$16,14,$B$9:B12)-SUM($O$9:O11)</f>
        <v>0</v>
      </c>
      <c r="P12" s="995"/>
      <c r="Q12" s="995"/>
      <c r="R12" s="997">
        <f t="shared" si="0"/>
        <v>0</v>
      </c>
    </row>
    <row r="13" spans="1:18" ht="15.75" customHeight="1">
      <c r="B13">
        <v>4</v>
      </c>
      <c r="C13" s="147">
        <v>45412</v>
      </c>
      <c r="D13" s="996">
        <f>DSUM(WJ!$D$9:$Q$16,3,$B$9:B13)-SUM($D$9:D12)</f>
        <v>0</v>
      </c>
      <c r="E13" s="996">
        <f>DSUM(WJ!$D$9:$Q$16,4,$B$9:B13)-SUM($E$9:E12)</f>
        <v>0</v>
      </c>
      <c r="F13" s="996">
        <f>DSUM(WJ!$D$9:$Q$16,5,$B$9:B13)-SUM($F$9:F12)</f>
        <v>0</v>
      </c>
      <c r="G13" s="996">
        <f>DSUM(WJ!$D$9:$Q$16,6,$B$9:B13)-SUM($G$9:G12)</f>
        <v>0</v>
      </c>
      <c r="H13" s="996">
        <f>DSUM(WJ!$D$9:$Q$16,7,$B$9:B13)-SUM($H$9:H12)</f>
        <v>0</v>
      </c>
      <c r="I13" s="996">
        <f>DSUM(WJ!$D$9:$Q$16,8,$B$9:B13)-SUM($I$9:I12)</f>
        <v>0</v>
      </c>
      <c r="J13" s="996">
        <f>DSUM(WJ!$D$9:$Q$16,9,$B$9:B13)-SUM($J$9:J12)</f>
        <v>0</v>
      </c>
      <c r="K13" s="996">
        <f>DSUM(WJ!$D$9:$Q$16,10,$B$9:B13)-SUM($K$9:K12)</f>
        <v>0</v>
      </c>
      <c r="L13" s="996">
        <f>DSUM(WJ!$D$9:$Q$16,11,$B$9:B13)-SUM($L$9:L12)</f>
        <v>0</v>
      </c>
      <c r="M13" s="996">
        <f>DSUM(WJ!$D$9:$Q$16,12,$B$9:B13)-SUM($M$9:M12)</f>
        <v>0</v>
      </c>
      <c r="N13" s="996">
        <f>DSUM(WJ!$D$9:$Q$16,13,$B$9:B13)-SUM($N$9:N12)</f>
        <v>0</v>
      </c>
      <c r="O13" s="996">
        <f>DSUM(WJ!$D$9:$Q$16,14,$B$9:B13)-SUM($O$9:O12)</f>
        <v>0</v>
      </c>
      <c r="P13" s="995"/>
      <c r="Q13" s="995"/>
      <c r="R13" s="997">
        <f t="shared" si="0"/>
        <v>0</v>
      </c>
    </row>
    <row r="14" spans="1:18" ht="15.75" customHeight="1">
      <c r="B14">
        <v>5</v>
      </c>
      <c r="C14" s="147">
        <v>45442</v>
      </c>
      <c r="D14" s="996">
        <f>DSUM(WJ!$D$9:$Q$16,3,$B$9:B14)-SUM($D$9:D13)</f>
        <v>0</v>
      </c>
      <c r="E14" s="996">
        <f>DSUM(WJ!$D$9:$Q$16,4,$B$9:B14)-SUM($E$9:E13)</f>
        <v>0</v>
      </c>
      <c r="F14" s="996">
        <f>DSUM(WJ!$D$9:$Q$16,5,$B$9:B14)-SUM($F$9:F13)</f>
        <v>0</v>
      </c>
      <c r="G14" s="996">
        <f>DSUM(WJ!$D$9:$Q$16,6,$B$9:B14)-SUM($G$9:G13)</f>
        <v>0</v>
      </c>
      <c r="H14" s="996">
        <f>DSUM(WJ!$D$9:$Q$16,7,$B$9:B14)-SUM($H$9:H13)</f>
        <v>0</v>
      </c>
      <c r="I14" s="996">
        <f>DSUM(WJ!$D$9:$Q$16,8,$B$9:B14)-SUM($I$9:I13)</f>
        <v>0</v>
      </c>
      <c r="J14" s="996">
        <f>DSUM(WJ!$D$9:$Q$16,9,$B$9:B14)-SUM($J$9:J13)</f>
        <v>0</v>
      </c>
      <c r="K14" s="996">
        <f>DSUM(WJ!$D$9:$Q$16,10,$B$9:B14)-SUM($K$9:K13)</f>
        <v>0</v>
      </c>
      <c r="L14" s="996">
        <f>DSUM(WJ!$D$9:$Q$16,11,$B$9:B14)-SUM($L$9:L13)</f>
        <v>0</v>
      </c>
      <c r="M14" s="996">
        <f>DSUM(WJ!$D$9:$Q$16,12,$B$9:B14)-SUM($M$9:M13)</f>
        <v>0</v>
      </c>
      <c r="N14" s="996">
        <f>DSUM(WJ!$D$9:$Q$16,13,$B$9:B14)-SUM($N$9:N13)</f>
        <v>0</v>
      </c>
      <c r="O14" s="996">
        <f>DSUM(WJ!$D$9:$Q$16,14,$B$9:B14)-SUM($O$9:O13)</f>
        <v>0</v>
      </c>
      <c r="P14" s="995"/>
      <c r="Q14" s="995"/>
      <c r="R14" s="997">
        <f t="shared" si="0"/>
        <v>0</v>
      </c>
    </row>
    <row r="15" spans="1:18" ht="15.75" customHeight="1">
      <c r="B15">
        <v>6</v>
      </c>
      <c r="C15" s="147">
        <v>45473</v>
      </c>
      <c r="D15" s="996">
        <f>DSUM(WJ!$D$9:$Q$16,3,$B$9:B15)-SUM($D$9:D14)</f>
        <v>0</v>
      </c>
      <c r="E15" s="996">
        <f>DSUM(WJ!$D$9:$Q$16,4,$B$9:B15)-SUM($E$9:E14)</f>
        <v>0</v>
      </c>
      <c r="F15" s="996">
        <f>DSUM(WJ!$D$9:$Q$16,5,$B$9:B15)-SUM($F$9:F14)</f>
        <v>0</v>
      </c>
      <c r="G15" s="996">
        <f>DSUM(WJ!$D$9:$Q$16,6,$B$9:B15)-SUM($G$9:G14)</f>
        <v>0</v>
      </c>
      <c r="H15" s="996">
        <f>DSUM(WJ!$D$9:$Q$16,7,$B$9:B15)-SUM($H$9:H14)</f>
        <v>0</v>
      </c>
      <c r="I15" s="996">
        <f>DSUM(WJ!$D$9:$Q$16,8,$B$9:B15)-SUM($I$9:I14)</f>
        <v>0</v>
      </c>
      <c r="J15" s="996">
        <f>DSUM(WJ!$D$9:$Q$16,9,$B$9:B15)-SUM($J$9:J14)</f>
        <v>0</v>
      </c>
      <c r="K15" s="996">
        <f>DSUM(WJ!$D$9:$Q$16,10,$B$9:B15)-SUM($K$9:K14)</f>
        <v>0</v>
      </c>
      <c r="L15" s="996">
        <f>DSUM(WJ!$D$9:$Q$16,11,$B$9:B15)-SUM($L$9:L14)</f>
        <v>0</v>
      </c>
      <c r="M15" s="996">
        <f>DSUM(WJ!$D$9:$Q$16,12,$B$9:B15)-SUM($M$9:M14)</f>
        <v>0</v>
      </c>
      <c r="N15" s="996">
        <f>DSUM(WJ!$D$9:$Q$16,13,$B$9:B15)-SUM($N$9:N14)</f>
        <v>0</v>
      </c>
      <c r="O15" s="996">
        <f>DSUM(WJ!$D$9:$Q$16,14,$B$9:B15)-SUM($O$9:O14)</f>
        <v>0</v>
      </c>
      <c r="P15" s="995"/>
      <c r="Q15" s="995"/>
      <c r="R15" s="997">
        <f t="shared" si="0"/>
        <v>0</v>
      </c>
    </row>
    <row r="16" spans="1:18" ht="15.75" customHeight="1">
      <c r="B16">
        <v>7</v>
      </c>
      <c r="C16" s="147">
        <v>45504</v>
      </c>
      <c r="D16" s="996">
        <f>DSUM(WJ!$D$9:$Q$16,3,$B$9:B16)-SUM($D$9:D15)</f>
        <v>0</v>
      </c>
      <c r="E16" s="996">
        <f>DSUM(WJ!$D$9:$Q$16,4,$B$9:B16)-SUM($E$9:E15)</f>
        <v>0</v>
      </c>
      <c r="F16" s="996">
        <f>DSUM(WJ!$D$9:$Q$16,5,$B$9:B16)-SUM($F$9:F15)</f>
        <v>0</v>
      </c>
      <c r="G16" s="996">
        <f>DSUM(WJ!$D$9:$Q$16,6,$B$9:B16)-SUM($G$9:G15)</f>
        <v>0</v>
      </c>
      <c r="H16" s="996">
        <f>DSUM(WJ!$D$9:$Q$16,7,$B$9:B16)-SUM($H$9:H15)</f>
        <v>0</v>
      </c>
      <c r="I16" s="996">
        <f>DSUM(WJ!$D$9:$Q$16,8,$B$9:B16)-SUM($I$9:I15)</f>
        <v>0</v>
      </c>
      <c r="J16" s="996">
        <f>DSUM(WJ!$D$9:$Q$16,9,$B$9:B16)-SUM($J$9:J15)</f>
        <v>0</v>
      </c>
      <c r="K16" s="996">
        <f>DSUM(WJ!$D$9:$Q$16,10,$B$9:B16)-SUM($K$9:K15)</f>
        <v>0</v>
      </c>
      <c r="L16" s="996">
        <f>DSUM(WJ!$D$9:$Q$16,11,$B$9:B16)-SUM($L$9:L15)</f>
        <v>0</v>
      </c>
      <c r="M16" s="996">
        <f>DSUM(WJ!$D$9:$Q$16,12,$B$9:B16)-SUM($M$9:M15)</f>
        <v>0</v>
      </c>
      <c r="N16" s="996">
        <f>DSUM(WJ!$D$9:$Q$16,13,$B$9:B16)-SUM($N$9:N15)</f>
        <v>0</v>
      </c>
      <c r="O16" s="996">
        <f>DSUM(WJ!$D$9:$Q$16,14,$B$9:B16)-SUM($O$9:O15)</f>
        <v>0</v>
      </c>
      <c r="P16" s="995"/>
      <c r="Q16" s="995"/>
      <c r="R16" s="997">
        <f t="shared" si="0"/>
        <v>0</v>
      </c>
    </row>
    <row r="17" spans="1:21" ht="15.75" customHeight="1">
      <c r="B17">
        <v>8</v>
      </c>
      <c r="C17" s="147">
        <v>45535</v>
      </c>
      <c r="D17" s="996">
        <f>DSUM(WJ!$D$9:$Q$16,3,$B$9:B17)-SUM($D$9:D16)</f>
        <v>2000</v>
      </c>
      <c r="E17" s="996">
        <f>DSUM(WJ!$D$9:$Q$16,4,$B$9:B17)-SUM($E$9:E16)</f>
        <v>5000</v>
      </c>
      <c r="F17" s="996">
        <f>DSUM(WJ!$D$9:$Q$16,5,$B$9:B17)-SUM($F$9:F16)</f>
        <v>7000</v>
      </c>
      <c r="G17" s="996">
        <f>DSUM(WJ!$D$9:$Q$16,6,$B$9:B17)-SUM($G$9:G16)</f>
        <v>210</v>
      </c>
      <c r="H17" s="996">
        <f>DSUM(WJ!$D$9:$Q$16,7,$B$9:B17)-SUM($H$9:H16)</f>
        <v>280</v>
      </c>
      <c r="I17" s="996">
        <f>DSUM(WJ!$D$9:$Q$16,8,$B$9:B17)-SUM($I$9:I16)</f>
        <v>1050</v>
      </c>
      <c r="J17" s="996">
        <f>DSUM(WJ!$D$9:$Q$16,9,$B$9:B17)-SUM($J$9:J16)</f>
        <v>525</v>
      </c>
      <c r="K17" s="996">
        <f>DSUM(WJ!$D$9:$Q$16,10,$B$9:B17)-SUM($K$9:K16)</f>
        <v>20</v>
      </c>
      <c r="L17" s="996">
        <f>DSUM(WJ!$D$9:$Q$16,11,$B$9:B17)-SUM($L$9:L16)</f>
        <v>4915</v>
      </c>
      <c r="M17" s="996">
        <f>DSUM(WJ!$D$9:$Q$16,12,$B$9:B17)-SUM($M$9:M16)</f>
        <v>210</v>
      </c>
      <c r="N17" s="996">
        <f>DSUM(WJ!$D$9:$Q$16,13,$B$9:B17)-SUM($N$9:N16)</f>
        <v>392</v>
      </c>
      <c r="O17" s="996">
        <f>DSUM(WJ!$D$9:$Q$16,14,$B$9:B17)-SUM($O$9:O16)</f>
        <v>2667</v>
      </c>
      <c r="P17" s="995"/>
      <c r="Q17" s="995"/>
      <c r="R17" s="997">
        <f>M17+N17</f>
        <v>602</v>
      </c>
    </row>
    <row r="18" spans="1:21" ht="15.75" customHeight="1">
      <c r="B18">
        <v>9</v>
      </c>
      <c r="C18" s="147">
        <v>45565</v>
      </c>
      <c r="D18" s="996">
        <f>DSUM(WJ!$D$9:$Q$16,3,$B$9:B18)-SUM($D$9:D17)</f>
        <v>0</v>
      </c>
      <c r="E18" s="996">
        <f>DSUM(WJ!$D$9:$Q$16,4,$B$9:B18)-SUM($E$9:E17)</f>
        <v>0</v>
      </c>
      <c r="F18" s="996">
        <f>DSUM(WJ!$D$9:$Q$16,5,$B$9:B18)-SUM($F$9:F17)</f>
        <v>0</v>
      </c>
      <c r="G18" s="996">
        <f>DSUM(WJ!$D$9:$Q$16,6,$B$9:B18)-SUM($G$9:G17)</f>
        <v>0</v>
      </c>
      <c r="H18" s="996">
        <f>DSUM(WJ!$D$9:$Q$16,7,$B$9:B18)-SUM($H$9:H17)</f>
        <v>0</v>
      </c>
      <c r="I18" s="996">
        <f>DSUM(WJ!$D$9:$Q$16,8,$B$9:B18)-SUM($I$9:I17)</f>
        <v>0</v>
      </c>
      <c r="J18" s="996">
        <f>DSUM(WJ!$D$9:$Q$16,9,$B$9:B18)-SUM($J$9:J17)</f>
        <v>0</v>
      </c>
      <c r="K18" s="996">
        <f>DSUM(WJ!$D$9:$Q$16,10,$B$9:B18)-SUM($K$9:K17)</f>
        <v>0</v>
      </c>
      <c r="L18" s="996">
        <f>DSUM(WJ!$D$9:$Q$16,11,$B$9:B18)-SUM($L$9:L17)</f>
        <v>0</v>
      </c>
      <c r="M18" s="996">
        <f>DSUM(WJ!$D$9:$Q$16,12,$B$9:B18)-SUM($M$9:M17)</f>
        <v>0</v>
      </c>
      <c r="N18" s="996">
        <f>DSUM(WJ!$D$9:$Q$16,13,$B$9:B18)-SUM($N$9:N17)</f>
        <v>0</v>
      </c>
      <c r="O18" s="996">
        <f>DSUM(WJ!$D$9:$Q$16,14,$B$9:B18)-SUM($O$9:O17)</f>
        <v>0</v>
      </c>
      <c r="P18" s="995"/>
      <c r="Q18" s="995"/>
      <c r="R18" s="997">
        <f t="shared" si="0"/>
        <v>0</v>
      </c>
      <c r="U18" s="43"/>
    </row>
    <row r="19" spans="1:21" ht="15.75" customHeight="1">
      <c r="B19">
        <v>10</v>
      </c>
      <c r="C19" s="147">
        <v>45596</v>
      </c>
      <c r="D19" s="996">
        <f>DSUM(WJ!$D$9:$Q$16,3,$B$9:B19)-SUM($D$9:D18)</f>
        <v>0</v>
      </c>
      <c r="E19" s="996">
        <f>DSUM(WJ!$D$9:$Q$16,4,$B$9:B19)-SUM($E$9:E18)</f>
        <v>0</v>
      </c>
      <c r="F19" s="996">
        <f>DSUM(WJ!$D$9:$Q$16,5,$B$9:B19)-SUM($F$9:F18)</f>
        <v>0</v>
      </c>
      <c r="G19" s="996">
        <f>DSUM(WJ!$D$9:$Q$16,6,$B$9:B19)-SUM($G$9:G18)</f>
        <v>0</v>
      </c>
      <c r="H19" s="996">
        <f>DSUM(WJ!$D$9:$Q$16,7,$B$9:B19)-SUM($H$9:H18)</f>
        <v>0</v>
      </c>
      <c r="I19" s="996">
        <f>DSUM(WJ!$D$9:$Q$16,8,$B$9:B19)-SUM($I$9:I18)</f>
        <v>0</v>
      </c>
      <c r="J19" s="996">
        <f>DSUM(WJ!$D$9:$Q$16,9,$B$9:B19)-SUM($J$9:J18)</f>
        <v>0</v>
      </c>
      <c r="K19" s="996">
        <f>DSUM(WJ!$D$9:$Q$16,10,$B$9:B19)-SUM($K$9:K18)</f>
        <v>0</v>
      </c>
      <c r="L19" s="996">
        <f>DSUM(WJ!$D$9:$Q$16,11,$B$9:B19)-SUM($L$9:L18)</f>
        <v>0</v>
      </c>
      <c r="M19" s="996">
        <f>DSUM(WJ!$D$9:$Q$16,12,$B$9:B19)-SUM($M$9:M18)</f>
        <v>0</v>
      </c>
      <c r="N19" s="996">
        <f>DSUM(WJ!$D$9:$Q$16,13,$B$9:B19)-SUM($N$9:N18)</f>
        <v>0</v>
      </c>
      <c r="O19" s="996">
        <f>DSUM(WJ!$D$9:$Q$16,14,$B$9:B19)-SUM($O$9:O18)</f>
        <v>0</v>
      </c>
      <c r="P19" s="995"/>
      <c r="Q19" s="995"/>
      <c r="R19" s="997">
        <f t="shared" si="0"/>
        <v>0</v>
      </c>
    </row>
    <row r="20" spans="1:21" ht="15.75" customHeight="1">
      <c r="B20">
        <v>11</v>
      </c>
      <c r="C20" s="147">
        <v>45626</v>
      </c>
      <c r="D20" s="996">
        <f>DSUM(WJ!$D$9:$Q$16,3,$B$9:B20)-SUM($D$9:D19)</f>
        <v>0</v>
      </c>
      <c r="E20" s="996">
        <f>DSUM(WJ!$D$9:$Q$16,4,$B$9:B20)-SUM($E$9:E19)</f>
        <v>0</v>
      </c>
      <c r="F20" s="996">
        <f>DSUM(WJ!$D$9:$Q$16,5,$B$9:B20)-SUM($F$9:F19)</f>
        <v>0</v>
      </c>
      <c r="G20" s="996">
        <f>DSUM(WJ!$D$9:$Q$16,6,$B$9:B20)-SUM($G$9:G19)</f>
        <v>0</v>
      </c>
      <c r="H20" s="996">
        <f>DSUM(WJ!$D$9:$Q$16,7,$B$9:B20)-SUM($H$9:H19)</f>
        <v>0</v>
      </c>
      <c r="I20" s="996">
        <f>DSUM(WJ!$D$9:$Q$16,8,$B$9:B20)-SUM($I$9:I19)</f>
        <v>0</v>
      </c>
      <c r="J20" s="996">
        <f>DSUM(WJ!$D$9:$Q$16,9,$B$9:B20)-SUM($J$9:J19)</f>
        <v>0</v>
      </c>
      <c r="K20" s="996">
        <f>DSUM(WJ!$D$9:$Q$16,10,$B$9:B20)-SUM($K$9:K19)</f>
        <v>0</v>
      </c>
      <c r="L20" s="996">
        <f>DSUM(WJ!$D$9:$Q$16,11,$B$9:B20)-SUM($L$9:L19)</f>
        <v>0</v>
      </c>
      <c r="M20" s="996">
        <f>DSUM(WJ!$D$9:$Q$16,12,$B$9:B20)-SUM($M$9:M19)</f>
        <v>0</v>
      </c>
      <c r="N20" s="996">
        <f>DSUM(WJ!$D$9:$Q$16,13,$B$9:B20)-SUM($N$9:N19)</f>
        <v>0</v>
      </c>
      <c r="O20" s="996">
        <f>DSUM(WJ!$D$9:$Q$16,14,$B$9:B20)-SUM($O$9:O19)</f>
        <v>0</v>
      </c>
      <c r="P20" s="995"/>
      <c r="Q20" s="995"/>
      <c r="R20" s="997">
        <f t="shared" si="0"/>
        <v>0</v>
      </c>
      <c r="U20" s="40"/>
    </row>
    <row r="21" spans="1:21" ht="15.75" customHeight="1">
      <c r="B21">
        <v>12</v>
      </c>
      <c r="C21" s="147">
        <v>45627</v>
      </c>
      <c r="D21" s="996">
        <f>DSUM(WJ!$D$9:$Q$16,3,$B$9:B21)-SUM($D$9:D20)</f>
        <v>0</v>
      </c>
      <c r="E21" s="996">
        <f>DSUM(WJ!$D$9:$Q$16,4,$B$9:B21)-SUM($E$9:E20)</f>
        <v>0</v>
      </c>
      <c r="F21" s="996">
        <f>DSUM(WJ!$D$9:$Q$16,5,$B$9:B21)-SUM($F$9:F20)</f>
        <v>0</v>
      </c>
      <c r="G21" s="996">
        <f>DSUM(WJ!$D$9:$Q$16,6,$B$9:B21)-SUM($G$9:G20)</f>
        <v>0</v>
      </c>
      <c r="H21" s="996">
        <f>DSUM(WJ!$D$9:$Q$16,7,$B$9:B21)-SUM($H$9:H20)</f>
        <v>0</v>
      </c>
      <c r="I21" s="996">
        <f>DSUM(WJ!$D$9:$Q$16,8,$B$9:B21)-SUM($I$9:I20)</f>
        <v>0</v>
      </c>
      <c r="J21" s="996">
        <f>DSUM(WJ!$D$9:$Q$16,9,$B$9:B21)-SUM($J$9:J20)</f>
        <v>0</v>
      </c>
      <c r="K21" s="996">
        <f>DSUM(WJ!$D$9:$Q$16,10,$B$9:B21)-SUM($K$9:K20)</f>
        <v>0</v>
      </c>
      <c r="L21" s="996">
        <f>DSUM(WJ!$D$9:$Q$16,11,$B$9:B21)-SUM($L$9:L20)</f>
        <v>0</v>
      </c>
      <c r="M21" s="996">
        <f>DSUM(WJ!$D$9:$Q$16,12,$B$9:B21)-SUM($M$9:M20)</f>
        <v>0</v>
      </c>
      <c r="N21" s="996">
        <f>DSUM(WJ!$D$9:$Q$16,13,$B$9:B21)-SUM($N$9:N20)</f>
        <v>0</v>
      </c>
      <c r="O21" s="996">
        <f>DSUM(WJ!$D$9:$Q$16,14,$B$9:B21)-SUM($O$9:O20)</f>
        <v>0</v>
      </c>
      <c r="P21" s="995"/>
      <c r="Q21" s="995"/>
      <c r="R21" s="997">
        <f t="shared" si="0"/>
        <v>0</v>
      </c>
    </row>
    <row r="22" spans="1:21" ht="15.75" customHeight="1">
      <c r="D22" s="998"/>
      <c r="E22" s="998"/>
      <c r="F22" s="999"/>
      <c r="G22" s="1000"/>
      <c r="H22" s="1000"/>
      <c r="I22" s="1000"/>
      <c r="J22" s="1000"/>
      <c r="K22" s="1000"/>
      <c r="L22" s="1000"/>
      <c r="M22" s="1000"/>
      <c r="N22" s="1000"/>
      <c r="O22" s="1000"/>
      <c r="P22" s="995"/>
      <c r="Q22" s="995"/>
      <c r="R22" s="995"/>
    </row>
    <row r="23" spans="1:21" ht="15.75" customHeight="1" thickBot="1">
      <c r="D23" s="1001">
        <f t="shared" ref="D23:O23" si="1">SUM(D10:D22)</f>
        <v>2000</v>
      </c>
      <c r="E23" s="1001">
        <f t="shared" si="1"/>
        <v>5000</v>
      </c>
      <c r="F23" s="1001">
        <f t="shared" si="1"/>
        <v>7000</v>
      </c>
      <c r="G23" s="1001">
        <f t="shared" si="1"/>
        <v>210</v>
      </c>
      <c r="H23" s="1001">
        <f t="shared" si="1"/>
        <v>280</v>
      </c>
      <c r="I23" s="1001">
        <f t="shared" si="1"/>
        <v>1050</v>
      </c>
      <c r="J23" s="1001">
        <f t="shared" si="1"/>
        <v>525</v>
      </c>
      <c r="K23" s="1001">
        <f t="shared" si="1"/>
        <v>20</v>
      </c>
      <c r="L23" s="1001">
        <f t="shared" si="1"/>
        <v>4915</v>
      </c>
      <c r="M23" s="1001">
        <f t="shared" si="1"/>
        <v>210</v>
      </c>
      <c r="N23" s="1001">
        <f t="shared" si="1"/>
        <v>392</v>
      </c>
      <c r="O23" s="1001">
        <f t="shared" si="1"/>
        <v>2667</v>
      </c>
      <c r="P23" s="995"/>
      <c r="Q23" s="995"/>
      <c r="R23" s="1001">
        <f t="shared" ref="R23" si="2">SUM(R10:R22)</f>
        <v>602</v>
      </c>
    </row>
    <row r="24" spans="1:21" ht="15.75" customHeight="1" thickTop="1">
      <c r="D24" s="995"/>
      <c r="E24" s="995"/>
      <c r="F24" s="995"/>
      <c r="G24" s="995"/>
      <c r="H24" s="995"/>
      <c r="I24" s="995"/>
      <c r="J24" s="995"/>
      <c r="K24" s="995"/>
      <c r="L24" s="995"/>
      <c r="M24" s="1002" t="s">
        <v>0</v>
      </c>
      <c r="N24" s="995"/>
      <c r="O24" s="995"/>
      <c r="P24" s="995"/>
      <c r="Q24" s="995"/>
      <c r="R24" s="995"/>
    </row>
    <row r="25" spans="1:21" ht="15.75" customHeight="1">
      <c r="D25" s="995"/>
      <c r="E25" s="995"/>
      <c r="F25" s="995"/>
      <c r="G25" s="995"/>
      <c r="H25" s="995"/>
      <c r="I25" s="995"/>
      <c r="J25" s="995"/>
      <c r="K25" s="995"/>
      <c r="L25" s="1003"/>
      <c r="M25" s="1004"/>
      <c r="N25" s="995"/>
      <c r="O25" s="1005"/>
      <c r="P25" s="995"/>
      <c r="Q25" s="995"/>
      <c r="R25" s="995"/>
    </row>
    <row r="26" spans="1:21" ht="15.75" customHeight="1">
      <c r="L26" s="76"/>
      <c r="M26" s="77"/>
      <c r="O26" s="65"/>
    </row>
    <row r="29" spans="1:21" ht="15.75" customHeight="1">
      <c r="E29" s="3" t="s">
        <v>157</v>
      </c>
      <c r="F29" s="148" t="s">
        <v>7</v>
      </c>
      <c r="G29" s="101" t="s">
        <v>8</v>
      </c>
      <c r="H29" s="38" t="s">
        <v>6</v>
      </c>
      <c r="I29" s="38" t="s">
        <v>9</v>
      </c>
      <c r="J29" s="38" t="s">
        <v>10</v>
      </c>
      <c r="K29" s="39" t="s">
        <v>13</v>
      </c>
    </row>
    <row r="30" spans="1:21" ht="15.75" customHeight="1">
      <c r="A30" t="s">
        <v>0</v>
      </c>
      <c r="E30" s="1006" t="s">
        <v>0</v>
      </c>
      <c r="F30" s="1007">
        <f>COA!$B$4</f>
        <v>46022</v>
      </c>
      <c r="G30" s="1008">
        <v>2025</v>
      </c>
      <c r="H30" s="1008" t="s">
        <v>1377</v>
      </c>
      <c r="I30" s="1009" t="str">
        <f>$D$8</f>
        <v>Bonus</v>
      </c>
      <c r="J30" s="1008" t="s">
        <v>1289</v>
      </c>
      <c r="K30" s="1010">
        <f>D23</f>
        <v>2000</v>
      </c>
    </row>
    <row r="31" spans="1:21" ht="15.75" customHeight="1">
      <c r="E31" s="1006" t="s">
        <v>0</v>
      </c>
      <c r="F31" s="1007">
        <f>COA!$B$4</f>
        <v>46022</v>
      </c>
      <c r="G31" s="1008">
        <v>2025</v>
      </c>
      <c r="H31" s="1008" t="s">
        <v>1377</v>
      </c>
      <c r="I31" s="1009" t="str">
        <f>$E$8</f>
        <v>Wage</v>
      </c>
      <c r="J31" s="1008" t="s">
        <v>1289</v>
      </c>
      <c r="K31" s="1010">
        <f>E23</f>
        <v>5000</v>
      </c>
    </row>
    <row r="32" spans="1:21" ht="15.75" customHeight="1">
      <c r="E32" s="1006" t="s">
        <v>0</v>
      </c>
      <c r="F32" s="1007">
        <f>COA!$B$4</f>
        <v>46022</v>
      </c>
      <c r="G32" s="1008">
        <v>2025</v>
      </c>
      <c r="H32" s="1008" t="s">
        <v>1377</v>
      </c>
      <c r="I32" s="1011" t="str">
        <f>$R$8</f>
        <v>Wage Cost</v>
      </c>
      <c r="J32" s="1008" t="s">
        <v>1292</v>
      </c>
      <c r="K32" s="1010">
        <f>R23</f>
        <v>602</v>
      </c>
    </row>
    <row r="33" spans="5:11" ht="15.75" customHeight="1">
      <c r="E33" s="1006"/>
      <c r="F33" s="1007">
        <f>COA!$B$4</f>
        <v>46022</v>
      </c>
      <c r="G33" s="1008">
        <v>2025</v>
      </c>
      <c r="H33" s="1008" t="s">
        <v>1377</v>
      </c>
      <c r="I33" s="1011" t="s">
        <v>41</v>
      </c>
      <c r="J33" s="1008" t="s">
        <v>1281</v>
      </c>
      <c r="K33" s="1010">
        <f>K23*-1</f>
        <v>-20</v>
      </c>
    </row>
    <row r="34" spans="5:11" ht="15.75" customHeight="1">
      <c r="E34" s="1006" t="s">
        <v>0</v>
      </c>
      <c r="F34" s="1007">
        <f>COA!$B$4</f>
        <v>46022</v>
      </c>
      <c r="G34" s="1008">
        <v>2025</v>
      </c>
      <c r="H34" s="1008" t="s">
        <v>1377</v>
      </c>
      <c r="I34" s="1011" t="str">
        <f>$O$8</f>
        <v>Remittance</v>
      </c>
      <c r="J34" s="1008" t="s">
        <v>337</v>
      </c>
      <c r="K34" s="1010">
        <f>O23*-1</f>
        <v>-2667</v>
      </c>
    </row>
    <row r="35" spans="5:11" ht="15.75" customHeight="1">
      <c r="E35" s="1006" t="s">
        <v>0</v>
      </c>
      <c r="F35" s="1007">
        <f>COA!$B$4</f>
        <v>46022</v>
      </c>
      <c r="G35" s="1008">
        <v>2025</v>
      </c>
      <c r="H35" s="1008" t="s">
        <v>1377</v>
      </c>
      <c r="I35" s="1012" t="str">
        <f>$L$9</f>
        <v>2160 Payroll Clearing</v>
      </c>
      <c r="J35" s="1008" t="s">
        <v>85</v>
      </c>
      <c r="K35" s="1010">
        <f>L23*-1</f>
        <v>-4915</v>
      </c>
    </row>
    <row r="36" spans="5:11" ht="15.75" customHeight="1" thickBot="1">
      <c r="E36" s="995"/>
      <c r="F36" s="1013"/>
      <c r="G36" s="995"/>
      <c r="H36" s="995"/>
      <c r="I36" s="995"/>
      <c r="J36" s="995"/>
      <c r="K36" s="1014">
        <f>SUBTOTAL(109,K30:K35)</f>
        <v>0</v>
      </c>
    </row>
    <row r="37" spans="5:11" ht="15.75" customHeight="1" thickTop="1">
      <c r="E37" s="995"/>
      <c r="F37" s="1013"/>
      <c r="G37" s="995"/>
      <c r="H37" s="995"/>
      <c r="I37" s="995"/>
      <c r="J37" s="995"/>
      <c r="K37" s="995"/>
    </row>
    <row r="38" spans="5:11" ht="15.75" customHeight="1">
      <c r="F38" s="145"/>
    </row>
    <row r="39" spans="5:11" ht="15.75" customHeight="1">
      <c r="F39" s="145"/>
    </row>
    <row r="40" spans="5:11" ht="15.75" customHeight="1">
      <c r="F40" s="145"/>
    </row>
  </sheetData>
  <mergeCells count="3">
    <mergeCell ref="B3:H3"/>
    <mergeCell ref="B4:H4"/>
    <mergeCell ref="B5:I5"/>
  </mergeCells>
  <hyperlinks>
    <hyperlink ref="C6" r:id="rId1" xr:uid="{FC00134A-EDB9-45C2-A4D8-9D732AAE44F1}"/>
    <hyperlink ref="A1" location="'TABLE OF CONTENTS'!A1" display="INDEX" xr:uid="{67531DE9-4E84-40E6-BCE1-158A24AC9637}"/>
  </hyperlinks>
  <pageMargins left="0.7" right="0.7" top="0.75" bottom="0.75" header="0.3" footer="0.3"/>
  <pageSetup orientation="portrait" r:id="rId2"/>
  <tableParts count="2">
    <tablePart r:id="rId3"/>
    <tablePart r:id="rId4"/>
  </tableParts>
  <extLst>
    <ext xmlns:x14="http://schemas.microsoft.com/office/spreadsheetml/2009/9/main" uri="{CCE6A557-97BC-4b89-ADB6-D9C93CAAB3DF}">
      <x14:dataValidations xmlns:xm="http://schemas.microsoft.com/office/excel/2006/main" count="1">
        <x14:dataValidation type="list" allowBlank="1" showInputMessage="1" showErrorMessage="1" xr:uid="{0038F087-1053-47E4-B04D-2C97ED4AAFBF}">
          <x14:formula1>
            <xm:f>COA!$D$9:$D$137</xm:f>
          </x14:formula1>
          <xm:sqref>L9 D9:E9 O9 R9 J30:J35 M25:M26</xm:sqref>
        </x14:dataValidation>
      </x14:dataValidations>
    </ext>
  </extLs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rgb="FF0070C0"/>
    <outlinePr summaryBelow="0" summaryRight="0"/>
  </sheetPr>
  <dimension ref="A1:AZ46"/>
  <sheetViews>
    <sheetView workbookViewId="0"/>
  </sheetViews>
  <sheetFormatPr defaultColWidth="12.5703125" defaultRowHeight="15.75" customHeight="1"/>
  <cols>
    <col min="1" max="1" width="5" customWidth="1"/>
    <col min="2" max="2" width="38.28515625" customWidth="1"/>
    <col min="3" max="3" width="6.85546875" customWidth="1"/>
    <col min="4" max="4" width="20.85546875" style="41" customWidth="1"/>
    <col min="5" max="5" width="14" customWidth="1"/>
    <col min="6" max="7" width="9" style="48" customWidth="1"/>
    <col min="8" max="8" width="10.5703125" style="48" customWidth="1"/>
    <col min="9" max="9" width="10.85546875" customWidth="1"/>
    <col min="10" max="10" width="43.28515625" style="41" customWidth="1"/>
    <col min="11" max="11" width="7.85546875" customWidth="1"/>
    <col min="12" max="12" width="13.85546875" customWidth="1"/>
    <col min="13" max="13" width="11" style="45" customWidth="1"/>
    <col min="14" max="14" width="34" customWidth="1"/>
    <col min="15" max="15" width="14.28515625" customWidth="1"/>
    <col min="16" max="16" width="11.140625" customWidth="1"/>
    <col min="17" max="17" width="10.42578125" customWidth="1"/>
  </cols>
  <sheetData>
    <row r="1" spans="1:52" ht="15.75" customHeight="1">
      <c r="A1" s="59" t="s">
        <v>1650</v>
      </c>
      <c r="C1" s="212" t="s">
        <v>1087</v>
      </c>
      <c r="AZ1" s="776">
        <f>COUNT(M:M,"&lt;&gt;0")</f>
        <v>0</v>
      </c>
    </row>
    <row r="2" spans="1:52" ht="15" customHeight="1">
      <c r="B2" s="84" t="str">
        <f>COA!$B$2</f>
        <v>ANONYMOUS COMPANY</v>
      </c>
      <c r="I2" s="106"/>
      <c r="J2" s="213"/>
      <c r="K2" s="23"/>
      <c r="L2" s="23"/>
      <c r="M2" s="2"/>
      <c r="N2" s="1"/>
      <c r="O2" s="1"/>
      <c r="P2" s="1"/>
      <c r="Q2" s="1"/>
    </row>
    <row r="3" spans="1:52" ht="12" customHeight="1">
      <c r="B3" s="212" t="s">
        <v>156</v>
      </c>
      <c r="E3" s="8"/>
      <c r="F3" s="214"/>
      <c r="G3" s="214"/>
      <c r="H3" s="214"/>
      <c r="I3" s="106"/>
      <c r="J3" s="213"/>
      <c r="K3" s="23"/>
      <c r="L3" s="23"/>
      <c r="M3" s="2"/>
      <c r="N3" s="1"/>
      <c r="O3" s="1"/>
      <c r="P3" s="1"/>
      <c r="Q3" s="1"/>
    </row>
    <row r="4" spans="1:52" ht="12" customHeight="1">
      <c r="B4" s="212" t="str">
        <f>"FOR THE PERIOD ENDED "&amp;UPPER(TEXT(COA!B4,"MMMM DD, YYYY"))</f>
        <v>FOR THE PERIOD ENDED DECEMBER 31, 2025</v>
      </c>
      <c r="K4" s="23"/>
      <c r="L4" s="23"/>
      <c r="M4" s="2"/>
      <c r="N4" s="1050" t="s">
        <v>25</v>
      </c>
      <c r="O4" s="995"/>
      <c r="P4" s="1051">
        <f>SUM(P7:P41)</f>
        <v>-4.5474735088646412E-13</v>
      </c>
      <c r="Q4" s="1"/>
    </row>
    <row r="5" spans="1:52" ht="11.25" customHeight="1">
      <c r="B5" s="215"/>
      <c r="C5" s="1"/>
      <c r="D5" s="216"/>
      <c r="E5" s="8"/>
      <c r="F5" s="214"/>
      <c r="G5" s="214"/>
      <c r="H5" s="214"/>
      <c r="I5" s="106"/>
      <c r="J5" s="213"/>
      <c r="K5" s="23"/>
      <c r="L5" s="23"/>
      <c r="M5" s="2"/>
      <c r="N5" s="1"/>
      <c r="O5" s="1"/>
      <c r="P5" s="1"/>
      <c r="Q5" s="52" t="s">
        <v>0</v>
      </c>
    </row>
    <row r="6" spans="1:52" ht="41.25" customHeight="1">
      <c r="B6" s="869" t="s">
        <v>667</v>
      </c>
      <c r="C6" s="870" t="s">
        <v>158</v>
      </c>
      <c r="D6" s="871" t="s">
        <v>7</v>
      </c>
      <c r="E6" s="872" t="s">
        <v>668</v>
      </c>
      <c r="F6" s="873" t="s">
        <v>8</v>
      </c>
      <c r="G6" s="874" t="s">
        <v>669</v>
      </c>
      <c r="H6" s="873" t="s">
        <v>670</v>
      </c>
      <c r="I6" s="875" t="s">
        <v>6</v>
      </c>
      <c r="J6" s="876" t="s">
        <v>9</v>
      </c>
      <c r="K6" s="881" t="s">
        <v>159</v>
      </c>
      <c r="L6" s="878" t="s">
        <v>161</v>
      </c>
      <c r="M6" s="879" t="s">
        <v>166</v>
      </c>
      <c r="N6" s="880" t="s">
        <v>10</v>
      </c>
      <c r="O6" s="875" t="s">
        <v>162</v>
      </c>
      <c r="P6" s="881" t="s">
        <v>13</v>
      </c>
      <c r="Q6" s="877" t="s">
        <v>160</v>
      </c>
    </row>
    <row r="7" spans="1:52" ht="15" customHeight="1">
      <c r="B7" s="1031"/>
      <c r="C7" s="1015">
        <f>IF(O7=0,0,(IF((P7="C"),0,(MAX($C$6:C6)+1))))</f>
        <v>0</v>
      </c>
      <c r="D7" s="1032">
        <v>221338</v>
      </c>
      <c r="E7" s="1033"/>
      <c r="F7" s="1034">
        <v>251299</v>
      </c>
      <c r="G7" s="1035"/>
      <c r="H7" s="1035"/>
      <c r="I7" s="1036" t="s">
        <v>674</v>
      </c>
      <c r="J7" s="1034" t="s">
        <v>677</v>
      </c>
      <c r="K7" s="1037"/>
      <c r="L7" s="1038"/>
      <c r="M7" s="1039"/>
      <c r="N7" s="897" t="s">
        <v>89</v>
      </c>
      <c r="O7" s="1023"/>
      <c r="P7" s="1024">
        <f>SUM($O$10:O41)</f>
        <v>0</v>
      </c>
      <c r="Q7" s="1025"/>
    </row>
    <row r="8" spans="1:52" ht="22.5" customHeight="1" thickBot="1">
      <c r="B8" s="1040"/>
      <c r="C8" s="1041">
        <f>IF(O8=0,0,(IF((P8="C"),0,(MAX($C$6:C6)+1))))</f>
        <v>0</v>
      </c>
      <c r="D8" s="1042">
        <v>221338</v>
      </c>
      <c r="E8" s="1043"/>
      <c r="F8" s="1044">
        <v>251299</v>
      </c>
      <c r="G8" s="1045"/>
      <c r="H8" s="1045"/>
      <c r="I8" s="1046" t="s">
        <v>674</v>
      </c>
      <c r="J8" s="1044" t="s">
        <v>676</v>
      </c>
      <c r="K8" s="1047"/>
      <c r="L8" s="1048"/>
      <c r="M8" s="1049"/>
      <c r="N8" s="913" t="s">
        <v>80</v>
      </c>
      <c r="O8" s="1026"/>
      <c r="P8" s="1027">
        <f>SUM($L$10:L41)</f>
        <v>-26288.18</v>
      </c>
      <c r="Q8" s="1028"/>
    </row>
    <row r="9" spans="1:52" ht="22.5" hidden="1" customHeight="1" thickTop="1" thickBot="1">
      <c r="B9" s="895" t="s">
        <v>0</v>
      </c>
      <c r="C9" s="1015">
        <f>IF(L9=0,0,(IF((M9="C"),0,(MAX($C$6:C7)+1))))</f>
        <v>0</v>
      </c>
      <c r="D9" s="914" t="s">
        <v>0</v>
      </c>
      <c r="E9" s="899"/>
      <c r="F9" s="900" t="s">
        <v>0</v>
      </c>
      <c r="G9" s="901">
        <f>COUNTIF($F$6:F40,F9)+COUNTIF(($F$6:F40),F9=F9)</f>
        <v>1</v>
      </c>
      <c r="H9" s="902" t="str">
        <f t="shared" ref="H9" si="0">CONCATENATE(F9,"-",G9)</f>
        <v xml:space="preserve"> -1</v>
      </c>
      <c r="I9" s="896" t="s">
        <v>674</v>
      </c>
      <c r="J9" s="903" t="str">
        <f>B9</f>
        <v xml:space="preserve"> </v>
      </c>
      <c r="K9" s="904" t="s">
        <v>0</v>
      </c>
      <c r="L9" s="882">
        <v>0</v>
      </c>
      <c r="M9" s="905" t="s">
        <v>0</v>
      </c>
      <c r="N9" s="51"/>
      <c r="O9" s="1029">
        <f>IF(K9="Y",((L9/1.15)*-0.15),0)</f>
        <v>0</v>
      </c>
      <c r="P9" s="1029">
        <f t="shared" ref="P9" si="1">(L9+O9)*-1</f>
        <v>0</v>
      </c>
      <c r="Q9" s="1030">
        <f>IF(N9="2150 Accounts Payable",L9*-1,0)</f>
        <v>0</v>
      </c>
    </row>
    <row r="10" spans="1:52" ht="24" customHeight="1" thickTop="1" thickBot="1">
      <c r="B10" s="895" t="s">
        <v>1136</v>
      </c>
      <c r="C10" s="1015">
        <f>IF(L10=0,0,(IF((M10="C"),0,(MAX($C$6:C8)+1))))</f>
        <v>0</v>
      </c>
      <c r="D10" s="914">
        <v>45678</v>
      </c>
      <c r="E10" s="899"/>
      <c r="F10" s="900">
        <v>250501</v>
      </c>
      <c r="G10" s="1016">
        <f>COUNTIF($F$6:F41,F10)+COUNTIF(($F$6:F41),F10=F10)</f>
        <v>1</v>
      </c>
      <c r="H10" s="1017" t="str">
        <f t="shared" ref="H10:H20" si="2">CONCATENATE(F10,"-",G10)</f>
        <v>250501-1</v>
      </c>
      <c r="I10" s="896" t="s">
        <v>674</v>
      </c>
      <c r="J10" s="1022" t="str">
        <f>B10</f>
        <v xml:space="preserve">L-1000 Level One Bank </v>
      </c>
      <c r="K10" s="904" t="s">
        <v>0</v>
      </c>
      <c r="L10" s="882">
        <v>-451.89</v>
      </c>
      <c r="M10" s="905" t="s">
        <v>33</v>
      </c>
      <c r="N10" s="51" t="s">
        <v>1294</v>
      </c>
      <c r="O10" s="1029">
        <f>IF(K10="Y",((L10/1.15)*-0.15),0)</f>
        <v>0</v>
      </c>
      <c r="P10" s="1029">
        <f t="shared" ref="P10:P17" si="3">(L10+O10)*-1</f>
        <v>451.89</v>
      </c>
      <c r="Q10" s="1030">
        <f>IF(N10="2150 Accounts Payable",L10*-1,0)</f>
        <v>0</v>
      </c>
    </row>
    <row r="11" spans="1:52" ht="15" customHeight="1" thickBot="1">
      <c r="B11" s="895" t="s">
        <v>1137</v>
      </c>
      <c r="C11" s="1015">
        <f>IF(L11=0,0,(IF((M11="C"),0,(MAX($C$6:C10)+1))))</f>
        <v>0</v>
      </c>
      <c r="D11" s="898">
        <v>45682</v>
      </c>
      <c r="E11" s="899">
        <v>122</v>
      </c>
      <c r="F11" s="906">
        <f>F10+1</f>
        <v>250502</v>
      </c>
      <c r="G11" s="1016">
        <f>COUNTIF($F$6:F42,F11)+COUNTIF(($F$6:F42),F11=F11)</f>
        <v>1</v>
      </c>
      <c r="H11" s="1018" t="str">
        <f t="shared" si="2"/>
        <v>250502-1</v>
      </c>
      <c r="I11" s="896" t="s">
        <v>674</v>
      </c>
      <c r="J11" s="1022" t="str">
        <f t="shared" ref="J11:J12" si="4">B11</f>
        <v>E-1000 Eastern Market Wholesale</v>
      </c>
      <c r="K11" s="904" t="s">
        <v>0</v>
      </c>
      <c r="L11" s="882">
        <v>-791.52</v>
      </c>
      <c r="M11" s="905" t="s">
        <v>33</v>
      </c>
      <c r="N11" s="51" t="s">
        <v>83</v>
      </c>
      <c r="O11" s="1029">
        <f>IF(K11="Y",((L11/1.15)*-0.15),0)</f>
        <v>0</v>
      </c>
      <c r="P11" s="1029">
        <f t="shared" si="3"/>
        <v>791.52</v>
      </c>
      <c r="Q11" s="1030">
        <f>IF(N11="2150 Accounts Payable",L11*-1,0)</f>
        <v>791.52</v>
      </c>
    </row>
    <row r="12" spans="1:52" ht="15" customHeight="1" thickBot="1">
      <c r="B12" s="895" t="s">
        <v>1138</v>
      </c>
      <c r="C12" s="1015">
        <f>IF(L12=0,0,(IF((M12="C"),0,(MAX($C$6:C11)+1))))</f>
        <v>0</v>
      </c>
      <c r="D12" s="898">
        <v>45670</v>
      </c>
      <c r="E12" s="899"/>
      <c r="F12" s="906">
        <f t="shared" ref="F12:F40" si="5">F11+1</f>
        <v>250503</v>
      </c>
      <c r="G12" s="1016">
        <f>COUNTIF($F$6:F43,F12)+COUNTIF(($F$6:F43),F12=F12)</f>
        <v>1</v>
      </c>
      <c r="H12" s="1018" t="str">
        <f t="shared" si="2"/>
        <v>250503-1</v>
      </c>
      <c r="I12" s="896" t="s">
        <v>674</v>
      </c>
      <c r="J12" s="1022" t="str">
        <f t="shared" si="4"/>
        <v>G-1002 Great Lakes Gas</v>
      </c>
      <c r="K12" s="904" t="s">
        <v>0</v>
      </c>
      <c r="L12" s="882">
        <v>-810</v>
      </c>
      <c r="M12" s="905" t="s">
        <v>33</v>
      </c>
      <c r="N12" s="51" t="s">
        <v>1300</v>
      </c>
      <c r="O12" s="1029">
        <f>IF(K12="Y",((L12/1.15)*-0.15),0)</f>
        <v>0</v>
      </c>
      <c r="P12" s="1029">
        <f t="shared" si="3"/>
        <v>810</v>
      </c>
      <c r="Q12" s="1030">
        <f>IF(N12="2150 Accounts Payable",L12*-1,0)</f>
        <v>0</v>
      </c>
    </row>
    <row r="13" spans="1:52" ht="15" customHeight="1" thickBot="1">
      <c r="B13" s="861" t="s">
        <v>675</v>
      </c>
      <c r="C13" s="1015">
        <f>IF(L13=0,0,(IF((M13="C"),0,(MAX($C$6:C12)+1))))</f>
        <v>0</v>
      </c>
      <c r="D13" s="907">
        <v>45702</v>
      </c>
      <c r="E13" s="51"/>
      <c r="F13" s="906">
        <f t="shared" si="5"/>
        <v>250504</v>
      </c>
      <c r="G13" s="1016">
        <f>COUNTIF($F$6:F44,F13)+COUNTIF(($F$6:F44),F13=F13)</f>
        <v>1</v>
      </c>
      <c r="H13" s="1019" t="str">
        <f t="shared" si="2"/>
        <v>250504-1</v>
      </c>
      <c r="I13" s="98" t="s">
        <v>674</v>
      </c>
      <c r="J13" s="1022" t="str">
        <f t="shared" ref="J13" si="6">B13</f>
        <v>K-2000 KEYSTONE PROPERTIES INC.</v>
      </c>
      <c r="K13" s="904" t="s">
        <v>0</v>
      </c>
      <c r="L13" s="120">
        <v>-810</v>
      </c>
      <c r="M13" s="905" t="s">
        <v>33</v>
      </c>
      <c r="N13" s="51" t="s">
        <v>1298</v>
      </c>
      <c r="O13" s="1029">
        <f>IF(K13="Y",((L13/1.15)*-0.15),0)</f>
        <v>0</v>
      </c>
      <c r="P13" s="1029">
        <f t="shared" si="3"/>
        <v>810</v>
      </c>
      <c r="Q13" s="1030">
        <f>IF(N13="2150 Accounts Payable",L13*-1,0)</f>
        <v>0</v>
      </c>
    </row>
    <row r="14" spans="1:52" ht="15" customHeight="1">
      <c r="B14" s="861" t="s">
        <v>1139</v>
      </c>
      <c r="C14" s="1015">
        <f>IF(L14=0,0,(IF((M14="C"),0,(MAX($C$6:C13)+1))))</f>
        <v>0</v>
      </c>
      <c r="D14" s="908">
        <v>45688</v>
      </c>
      <c r="E14" s="51">
        <v>123</v>
      </c>
      <c r="F14" s="906">
        <f t="shared" si="5"/>
        <v>250505</v>
      </c>
      <c r="G14" s="1016">
        <f>COUNTIF($F$6:F45,F14)+COUNTIF(($F$6:F45),F14=F14)</f>
        <v>1</v>
      </c>
      <c r="H14" s="1019" t="str">
        <f t="shared" si="2"/>
        <v>250505-1</v>
      </c>
      <c r="I14" s="98" t="s">
        <v>674</v>
      </c>
      <c r="J14" s="1022" t="str">
        <f t="shared" ref="J14:J40" si="7">B14</f>
        <v xml:space="preserve">R-1099 Rock Security </v>
      </c>
      <c r="K14" s="904" t="s">
        <v>0</v>
      </c>
      <c r="L14" s="862">
        <v>-541</v>
      </c>
      <c r="M14" s="905" t="s">
        <v>33</v>
      </c>
      <c r="N14" s="51" t="s">
        <v>83</v>
      </c>
      <c r="O14" s="1029">
        <f t="shared" ref="O14:O40" si="8">IF(K14="Y",((L14/1.15)*-0.15),0)</f>
        <v>0</v>
      </c>
      <c r="P14" s="1029">
        <f t="shared" si="3"/>
        <v>541</v>
      </c>
      <c r="Q14" s="1030">
        <f t="shared" ref="Q14:Q40" si="9">IF(N14="2150 Accounts Payable",L14*-1,0)</f>
        <v>541</v>
      </c>
    </row>
    <row r="15" spans="1:52" ht="15.75" customHeight="1" thickBot="1">
      <c r="B15" s="861" t="s">
        <v>1140</v>
      </c>
      <c r="C15" s="1015">
        <f>IF(L15=0,0,(IF((M15="C"),0,(MAX($C$6:C14)+1))))</f>
        <v>1</v>
      </c>
      <c r="D15" s="908">
        <v>45744</v>
      </c>
      <c r="E15" s="51">
        <v>121</v>
      </c>
      <c r="F15" s="906">
        <f t="shared" si="5"/>
        <v>250506</v>
      </c>
      <c r="G15" s="1016">
        <f>COUNTIF($F$6:F46,F15)+COUNTIF(($F$6:F46),F15=F15)</f>
        <v>1</v>
      </c>
      <c r="H15" s="1019" t="str">
        <f t="shared" si="2"/>
        <v>250506-1</v>
      </c>
      <c r="I15" s="98" t="s">
        <v>674</v>
      </c>
      <c r="J15" s="1022" t="str">
        <f t="shared" si="7"/>
        <v>M-1000 Motor City Beverage Company</v>
      </c>
      <c r="K15" s="904" t="s">
        <v>0</v>
      </c>
      <c r="L15" s="862">
        <v>-15180</v>
      </c>
      <c r="M15" s="909" t="s">
        <v>0</v>
      </c>
      <c r="N15" s="51" t="s">
        <v>83</v>
      </c>
      <c r="O15" s="1029">
        <f t="shared" si="8"/>
        <v>0</v>
      </c>
      <c r="P15" s="1029">
        <f t="shared" si="3"/>
        <v>15180</v>
      </c>
      <c r="Q15" s="1030">
        <f t="shared" si="9"/>
        <v>15180</v>
      </c>
    </row>
    <row r="16" spans="1:52" ht="15.75" customHeight="1" thickBot="1">
      <c r="B16" s="861" t="s">
        <v>1141</v>
      </c>
      <c r="C16" s="1015">
        <f>IF(L16=0,0,(IF((M16="C"),0,(MAX($C$6:C15)+1))))</f>
        <v>2</v>
      </c>
      <c r="D16" s="910">
        <v>45896</v>
      </c>
      <c r="E16" s="51">
        <v>78291</v>
      </c>
      <c r="F16" s="906">
        <f t="shared" si="5"/>
        <v>250507</v>
      </c>
      <c r="G16" s="1016">
        <f>COUNTIF($F$6:F16,F16)+COUNTIF(($F$6:F16),F16=F16)</f>
        <v>1</v>
      </c>
      <c r="H16" s="1019" t="str">
        <f t="shared" si="2"/>
        <v>250507-1</v>
      </c>
      <c r="I16" s="98" t="s">
        <v>674</v>
      </c>
      <c r="J16" s="1022" t="str">
        <f t="shared" si="7"/>
        <v xml:space="preserve">S-1000 Sysco </v>
      </c>
      <c r="K16" s="904" t="s">
        <v>0</v>
      </c>
      <c r="L16" s="862">
        <v>-2850.75</v>
      </c>
      <c r="M16" s="909" t="s">
        <v>0</v>
      </c>
      <c r="N16" s="51" t="s">
        <v>1287</v>
      </c>
      <c r="O16" s="1029">
        <f t="shared" si="8"/>
        <v>0</v>
      </c>
      <c r="P16" s="1029">
        <f t="shared" si="3"/>
        <v>2850.75</v>
      </c>
      <c r="Q16" s="1030">
        <f t="shared" si="9"/>
        <v>0</v>
      </c>
    </row>
    <row r="17" spans="2:17" ht="15.75" customHeight="1" thickBot="1">
      <c r="B17" s="861" t="s">
        <v>1141</v>
      </c>
      <c r="C17" s="1015">
        <f>IF(L17=0,0,(IF((M17="C"),0,(MAX($C$6:C16)+1))))</f>
        <v>3</v>
      </c>
      <c r="D17" s="910">
        <v>45896</v>
      </c>
      <c r="E17" s="866">
        <v>78536</v>
      </c>
      <c r="F17" s="906">
        <v>250507</v>
      </c>
      <c r="G17" s="1016">
        <f>COUNTIF($F$6:F17,F17)+COUNTIF(($F$6:F17),F17=F17)</f>
        <v>2</v>
      </c>
      <c r="H17" s="1020" t="str">
        <f t="shared" si="2"/>
        <v>250507-2</v>
      </c>
      <c r="I17" s="98" t="s">
        <v>674</v>
      </c>
      <c r="J17" s="1022" t="str">
        <f t="shared" si="7"/>
        <v xml:space="preserve">S-1000 Sysco </v>
      </c>
      <c r="K17" s="904" t="s">
        <v>0</v>
      </c>
      <c r="L17" s="868">
        <v>-3275.42</v>
      </c>
      <c r="M17" s="909" t="s">
        <v>0</v>
      </c>
      <c r="N17" s="51" t="s">
        <v>1287</v>
      </c>
      <c r="O17" s="1029">
        <f t="shared" si="8"/>
        <v>0</v>
      </c>
      <c r="P17" s="1029">
        <f t="shared" si="3"/>
        <v>3275.42</v>
      </c>
      <c r="Q17" s="1030">
        <f t="shared" si="9"/>
        <v>0</v>
      </c>
    </row>
    <row r="18" spans="2:17" ht="15.75" customHeight="1" thickBot="1">
      <c r="B18" s="861" t="s">
        <v>1141</v>
      </c>
      <c r="C18" s="1015">
        <f>IF(L18=0,0,(IF((M18="C"),0,(MAX($C$6:C17)+1))))</f>
        <v>4</v>
      </c>
      <c r="D18" s="910">
        <v>45896</v>
      </c>
      <c r="E18" s="866">
        <v>77342</v>
      </c>
      <c r="F18" s="906">
        <v>250507</v>
      </c>
      <c r="G18" s="1016">
        <f>COUNTIF($F$6:F18,F18)+COUNTIF(($F$6:F18),F18=F18)</f>
        <v>3</v>
      </c>
      <c r="H18" s="1020" t="str">
        <f t="shared" si="2"/>
        <v>250507-3</v>
      </c>
      <c r="I18" s="98" t="s">
        <v>674</v>
      </c>
      <c r="J18" s="1022" t="str">
        <f t="shared" si="7"/>
        <v xml:space="preserve">S-1000 Sysco </v>
      </c>
      <c r="K18" s="904" t="s">
        <v>0</v>
      </c>
      <c r="L18" s="868">
        <v>157.4</v>
      </c>
      <c r="M18" s="909" t="s">
        <v>0</v>
      </c>
      <c r="N18" s="51" t="s">
        <v>1287</v>
      </c>
      <c r="O18" s="1029">
        <f t="shared" si="8"/>
        <v>0</v>
      </c>
      <c r="P18" s="1029">
        <f>(L18+O18)*-1</f>
        <v>-157.4</v>
      </c>
      <c r="Q18" s="1030">
        <f t="shared" si="9"/>
        <v>0</v>
      </c>
    </row>
    <row r="19" spans="2:17" ht="15.75" customHeight="1" thickBot="1">
      <c r="B19" s="865" t="s">
        <v>1631</v>
      </c>
      <c r="C19" s="1015">
        <f>IF(L19=0,0,(IF((M19="C"),0,(MAX($C$6:C18)+1))))</f>
        <v>5</v>
      </c>
      <c r="D19" s="910">
        <v>45913</v>
      </c>
      <c r="E19" s="866">
        <v>54589</v>
      </c>
      <c r="F19" s="906">
        <f t="shared" si="5"/>
        <v>250508</v>
      </c>
      <c r="G19" s="1016">
        <f>COUNTIF($F$6:F19,F19)+COUNTIF(($F$6:F19),F19=F19)</f>
        <v>1</v>
      </c>
      <c r="H19" s="1021" t="str">
        <f t="shared" si="2"/>
        <v>250508-1</v>
      </c>
      <c r="I19" s="867" t="s">
        <v>674</v>
      </c>
      <c r="J19" s="1022" t="str">
        <f t="shared" si="7"/>
        <v>M-1000 Mastercard</v>
      </c>
      <c r="K19" s="904" t="s">
        <v>0</v>
      </c>
      <c r="L19" s="868">
        <v>-115</v>
      </c>
      <c r="M19" s="909" t="s">
        <v>0</v>
      </c>
      <c r="N19" s="866" t="s">
        <v>1632</v>
      </c>
      <c r="O19" s="1029">
        <f t="shared" si="8"/>
        <v>0</v>
      </c>
      <c r="P19" s="1029">
        <f t="shared" ref="P19:P40" si="10">(L19+O19)*-1</f>
        <v>115</v>
      </c>
      <c r="Q19" s="1030">
        <f t="shared" si="9"/>
        <v>0</v>
      </c>
    </row>
    <row r="20" spans="2:17" ht="15.75" customHeight="1" thickBot="1">
      <c r="B20" s="861" t="s">
        <v>1633</v>
      </c>
      <c r="C20" s="1015">
        <f>IF(L20=0,0,(IF((M20="C"),0,(MAX($C$6:C19)+1))))</f>
        <v>6</v>
      </c>
      <c r="D20" s="910">
        <v>45913</v>
      </c>
      <c r="E20" s="51">
        <v>257128</v>
      </c>
      <c r="F20" s="906">
        <f t="shared" si="5"/>
        <v>250509</v>
      </c>
      <c r="G20" s="1016">
        <f>COUNTIF($F$6:F20,F20)+COUNTIF(($F$6:F20),F20=F20)</f>
        <v>1</v>
      </c>
      <c r="H20" s="1019" t="str">
        <f t="shared" si="2"/>
        <v>250509-1</v>
      </c>
      <c r="I20" s="98" t="s">
        <v>674</v>
      </c>
      <c r="J20" s="1022" t="str">
        <f t="shared" si="7"/>
        <v>E-1000 EZ Ledgers Inc.</v>
      </c>
      <c r="K20" s="904" t="s">
        <v>0</v>
      </c>
      <c r="L20" s="52">
        <v>-1620</v>
      </c>
      <c r="M20" s="909" t="s">
        <v>0</v>
      </c>
      <c r="N20" s="51" t="s">
        <v>1304</v>
      </c>
      <c r="O20" s="1029">
        <f t="shared" si="8"/>
        <v>0</v>
      </c>
      <c r="P20" s="1029">
        <f t="shared" si="10"/>
        <v>1620</v>
      </c>
      <c r="Q20" s="1030">
        <f t="shared" si="9"/>
        <v>0</v>
      </c>
    </row>
    <row r="21" spans="2:17" ht="15.75" customHeight="1" thickBot="1">
      <c r="B21" s="911" t="s">
        <v>0</v>
      </c>
      <c r="C21" s="1015">
        <f>IF(L21=0,0,(IF((M21="C"),0,(MAX($C$6:C20)+1))))</f>
        <v>0</v>
      </c>
      <c r="D21" s="898" t="s">
        <v>0</v>
      </c>
      <c r="E21" s="899"/>
      <c r="F21" s="906">
        <f t="shared" si="5"/>
        <v>250510</v>
      </c>
      <c r="G21" s="1016">
        <f>COUNTIF($F$6:F21,F21)+COUNTIF(($F$6:F21),F21=F21)</f>
        <v>1</v>
      </c>
      <c r="H21" s="1018" t="str">
        <f t="shared" ref="H21:H40" si="11">CONCATENATE(F21,"-",G21)</f>
        <v>250510-1</v>
      </c>
      <c r="I21" s="896" t="s">
        <v>674</v>
      </c>
      <c r="J21" s="1022" t="str">
        <f t="shared" si="7"/>
        <v xml:space="preserve"> </v>
      </c>
      <c r="K21" s="904" t="s">
        <v>0</v>
      </c>
      <c r="L21" s="882">
        <v>0</v>
      </c>
      <c r="M21" s="909" t="s">
        <v>0</v>
      </c>
      <c r="N21" s="899"/>
      <c r="O21" s="1029">
        <f t="shared" si="8"/>
        <v>0</v>
      </c>
      <c r="P21" s="1029">
        <f t="shared" si="10"/>
        <v>0</v>
      </c>
      <c r="Q21" s="1030">
        <f t="shared" si="9"/>
        <v>0</v>
      </c>
    </row>
    <row r="22" spans="2:17" ht="15.75" customHeight="1" thickBot="1">
      <c r="B22" s="911" t="s">
        <v>0</v>
      </c>
      <c r="C22" s="1015">
        <f>IF(L22=0,0,(IF((M22="C"),0,(MAX($C$6:C21)+1))))</f>
        <v>0</v>
      </c>
      <c r="D22" s="898" t="s">
        <v>0</v>
      </c>
      <c r="E22" s="899"/>
      <c r="F22" s="906">
        <f t="shared" ref="F22:F38" si="12">F21+1</f>
        <v>250511</v>
      </c>
      <c r="G22" s="1016">
        <f>COUNTIF($F$6:F22,F22)+COUNTIF(($F$6:F22),F22=F22)</f>
        <v>1</v>
      </c>
      <c r="H22" s="1018" t="str">
        <f t="shared" ref="H22:H38" si="13">CONCATENATE(F22,"-",G22)</f>
        <v>250511-1</v>
      </c>
      <c r="I22" s="896" t="s">
        <v>674</v>
      </c>
      <c r="J22" s="1022" t="str">
        <f t="shared" ref="J22:J38" si="14">B22</f>
        <v xml:space="preserve"> </v>
      </c>
      <c r="K22" s="904" t="s">
        <v>0</v>
      </c>
      <c r="L22" s="882">
        <v>0</v>
      </c>
      <c r="M22" s="909" t="s">
        <v>0</v>
      </c>
      <c r="N22" s="899"/>
      <c r="O22" s="1029">
        <f t="shared" ref="O22:O38" si="15">IF(K22="Y",((L22/1.15)*-0.15),0)</f>
        <v>0</v>
      </c>
      <c r="P22" s="1029">
        <f t="shared" si="10"/>
        <v>0</v>
      </c>
      <c r="Q22" s="1030">
        <f t="shared" ref="Q22:Q38" si="16">IF(N22="2150 Accounts Payable",L22*-1,0)</f>
        <v>0</v>
      </c>
    </row>
    <row r="23" spans="2:17" ht="15.75" customHeight="1" thickBot="1">
      <c r="B23" s="911" t="s">
        <v>0</v>
      </c>
      <c r="C23" s="1015">
        <f>IF(L23=0,0,(IF((M23="C"),0,(MAX($C$6:C22)+1))))</f>
        <v>0</v>
      </c>
      <c r="D23" s="898" t="s">
        <v>0</v>
      </c>
      <c r="E23" s="899"/>
      <c r="F23" s="906">
        <f t="shared" si="12"/>
        <v>250512</v>
      </c>
      <c r="G23" s="1016">
        <f>COUNTIF($F$6:F23,F23)+COUNTIF(($F$6:F23),F23=F23)</f>
        <v>1</v>
      </c>
      <c r="H23" s="1018" t="str">
        <f t="shared" si="13"/>
        <v>250512-1</v>
      </c>
      <c r="I23" s="896" t="s">
        <v>674</v>
      </c>
      <c r="J23" s="1022" t="str">
        <f t="shared" si="14"/>
        <v xml:space="preserve"> </v>
      </c>
      <c r="K23" s="904" t="s">
        <v>0</v>
      </c>
      <c r="L23" s="882">
        <v>0</v>
      </c>
      <c r="M23" s="909" t="s">
        <v>0</v>
      </c>
      <c r="N23" s="899"/>
      <c r="O23" s="1029">
        <f t="shared" si="15"/>
        <v>0</v>
      </c>
      <c r="P23" s="1029">
        <f t="shared" si="10"/>
        <v>0</v>
      </c>
      <c r="Q23" s="1030">
        <f t="shared" si="16"/>
        <v>0</v>
      </c>
    </row>
    <row r="24" spans="2:17" ht="15.75" customHeight="1" thickBot="1">
      <c r="B24" s="911" t="s">
        <v>0</v>
      </c>
      <c r="C24" s="1015">
        <f>IF(L24=0,0,(IF((M24="C"),0,(MAX($C$6:C23)+1))))</f>
        <v>0</v>
      </c>
      <c r="D24" s="898" t="s">
        <v>0</v>
      </c>
      <c r="E24" s="899"/>
      <c r="F24" s="906">
        <f t="shared" si="12"/>
        <v>250513</v>
      </c>
      <c r="G24" s="1016">
        <f>COUNTIF($F$6:F24,F24)+COUNTIF(($F$6:F24),F24=F24)</f>
        <v>1</v>
      </c>
      <c r="H24" s="1018" t="str">
        <f t="shared" si="13"/>
        <v>250513-1</v>
      </c>
      <c r="I24" s="896" t="s">
        <v>674</v>
      </c>
      <c r="J24" s="1022" t="str">
        <f t="shared" si="14"/>
        <v xml:space="preserve"> </v>
      </c>
      <c r="K24" s="904" t="s">
        <v>0</v>
      </c>
      <c r="L24" s="882">
        <v>0</v>
      </c>
      <c r="M24" s="909" t="s">
        <v>0</v>
      </c>
      <c r="N24" s="899"/>
      <c r="O24" s="1029">
        <f t="shared" si="15"/>
        <v>0</v>
      </c>
      <c r="P24" s="1029">
        <f t="shared" si="10"/>
        <v>0</v>
      </c>
      <c r="Q24" s="1030">
        <f t="shared" si="16"/>
        <v>0</v>
      </c>
    </row>
    <row r="25" spans="2:17" ht="15.75" customHeight="1" thickBot="1">
      <c r="B25" s="911" t="s">
        <v>0</v>
      </c>
      <c r="C25" s="1015">
        <f>IF(L25=0,0,(IF((M25="C"),0,(MAX($C$6:C24)+1))))</f>
        <v>0</v>
      </c>
      <c r="D25" s="898" t="s">
        <v>0</v>
      </c>
      <c r="E25" s="899"/>
      <c r="F25" s="906">
        <f t="shared" si="12"/>
        <v>250514</v>
      </c>
      <c r="G25" s="1016">
        <f>COUNTIF($F$6:F25,F25)+COUNTIF(($F$6:F25),F25=F25)</f>
        <v>1</v>
      </c>
      <c r="H25" s="1018" t="str">
        <f t="shared" si="13"/>
        <v>250514-1</v>
      </c>
      <c r="I25" s="896" t="s">
        <v>674</v>
      </c>
      <c r="J25" s="1022" t="str">
        <f t="shared" si="14"/>
        <v xml:space="preserve"> </v>
      </c>
      <c r="K25" s="904" t="s">
        <v>0</v>
      </c>
      <c r="L25" s="882">
        <v>0</v>
      </c>
      <c r="M25" s="909" t="s">
        <v>0</v>
      </c>
      <c r="N25" s="899"/>
      <c r="O25" s="1029">
        <f t="shared" si="15"/>
        <v>0</v>
      </c>
      <c r="P25" s="1029">
        <f t="shared" si="10"/>
        <v>0</v>
      </c>
      <c r="Q25" s="1030">
        <f t="shared" si="16"/>
        <v>0</v>
      </c>
    </row>
    <row r="26" spans="2:17" ht="15.75" customHeight="1" thickBot="1">
      <c r="B26" s="911" t="s">
        <v>0</v>
      </c>
      <c r="C26" s="1015">
        <f>IF(L26=0,0,(IF((M26="C"),0,(MAX($C$6:C25)+1))))</f>
        <v>0</v>
      </c>
      <c r="D26" s="898" t="s">
        <v>0</v>
      </c>
      <c r="E26" s="899"/>
      <c r="F26" s="906">
        <f t="shared" si="12"/>
        <v>250515</v>
      </c>
      <c r="G26" s="1016">
        <f>COUNTIF($F$6:F26,F26)+COUNTIF(($F$6:F26),F26=F26)</f>
        <v>1</v>
      </c>
      <c r="H26" s="1018" t="str">
        <f t="shared" si="13"/>
        <v>250515-1</v>
      </c>
      <c r="I26" s="896" t="s">
        <v>674</v>
      </c>
      <c r="J26" s="1022" t="str">
        <f t="shared" si="14"/>
        <v xml:space="preserve"> </v>
      </c>
      <c r="K26" s="904" t="s">
        <v>0</v>
      </c>
      <c r="L26" s="882">
        <v>0</v>
      </c>
      <c r="M26" s="909" t="s">
        <v>0</v>
      </c>
      <c r="N26" s="899"/>
      <c r="O26" s="1029">
        <f t="shared" si="15"/>
        <v>0</v>
      </c>
      <c r="P26" s="1029">
        <f t="shared" si="10"/>
        <v>0</v>
      </c>
      <c r="Q26" s="1030">
        <f t="shared" si="16"/>
        <v>0</v>
      </c>
    </row>
    <row r="27" spans="2:17" ht="15.75" customHeight="1" thickBot="1">
      <c r="B27" s="911" t="s">
        <v>0</v>
      </c>
      <c r="C27" s="1015">
        <f>IF(L27=0,0,(IF((M27="C"),0,(MAX($C$6:C26)+1))))</f>
        <v>0</v>
      </c>
      <c r="D27" s="898" t="s">
        <v>0</v>
      </c>
      <c r="E27" s="899"/>
      <c r="F27" s="906">
        <f t="shared" si="12"/>
        <v>250516</v>
      </c>
      <c r="G27" s="1016">
        <f>COUNTIF($F$6:F27,F27)+COUNTIF(($F$6:F27),F27=F27)</f>
        <v>1</v>
      </c>
      <c r="H27" s="1018" t="str">
        <f t="shared" si="13"/>
        <v>250516-1</v>
      </c>
      <c r="I27" s="896" t="s">
        <v>674</v>
      </c>
      <c r="J27" s="1022" t="str">
        <f t="shared" si="14"/>
        <v xml:space="preserve"> </v>
      </c>
      <c r="K27" s="904" t="s">
        <v>0</v>
      </c>
      <c r="L27" s="882">
        <v>0</v>
      </c>
      <c r="M27" s="909" t="s">
        <v>0</v>
      </c>
      <c r="N27" s="899"/>
      <c r="O27" s="1029">
        <f t="shared" si="15"/>
        <v>0</v>
      </c>
      <c r="P27" s="1029">
        <f t="shared" si="10"/>
        <v>0</v>
      </c>
      <c r="Q27" s="1030">
        <f t="shared" si="16"/>
        <v>0</v>
      </c>
    </row>
    <row r="28" spans="2:17" ht="15.75" customHeight="1" thickBot="1">
      <c r="B28" s="911" t="s">
        <v>0</v>
      </c>
      <c r="C28" s="1015">
        <f>IF(L28=0,0,(IF((M28="C"),0,(MAX($C$6:C27)+1))))</f>
        <v>0</v>
      </c>
      <c r="D28" s="898" t="s">
        <v>0</v>
      </c>
      <c r="E28" s="899"/>
      <c r="F28" s="906">
        <f t="shared" si="12"/>
        <v>250517</v>
      </c>
      <c r="G28" s="1016">
        <f>COUNTIF($F$6:F28,F28)+COUNTIF(($F$6:F28),F28=F28)</f>
        <v>1</v>
      </c>
      <c r="H28" s="1018" t="str">
        <f t="shared" si="13"/>
        <v>250517-1</v>
      </c>
      <c r="I28" s="896" t="s">
        <v>674</v>
      </c>
      <c r="J28" s="1022" t="str">
        <f t="shared" si="14"/>
        <v xml:space="preserve"> </v>
      </c>
      <c r="K28" s="904" t="s">
        <v>0</v>
      </c>
      <c r="L28" s="882">
        <v>0</v>
      </c>
      <c r="M28" s="909" t="s">
        <v>0</v>
      </c>
      <c r="N28" s="899"/>
      <c r="O28" s="1029">
        <f t="shared" si="15"/>
        <v>0</v>
      </c>
      <c r="P28" s="1029">
        <f t="shared" si="10"/>
        <v>0</v>
      </c>
      <c r="Q28" s="1030">
        <f t="shared" si="16"/>
        <v>0</v>
      </c>
    </row>
    <row r="29" spans="2:17" ht="15.75" customHeight="1" thickBot="1">
      <c r="B29" s="911" t="s">
        <v>0</v>
      </c>
      <c r="C29" s="1015">
        <f>IF(L29=0,0,(IF((M29="C"),0,(MAX($C$6:C28)+1))))</f>
        <v>0</v>
      </c>
      <c r="D29" s="898" t="s">
        <v>0</v>
      </c>
      <c r="E29" s="899"/>
      <c r="F29" s="906">
        <f t="shared" si="12"/>
        <v>250518</v>
      </c>
      <c r="G29" s="1016">
        <f>COUNTIF($F$6:F29,F29)+COUNTIF(($F$6:F29),F29=F29)</f>
        <v>1</v>
      </c>
      <c r="H29" s="1018" t="str">
        <f t="shared" si="13"/>
        <v>250518-1</v>
      </c>
      <c r="I29" s="896" t="s">
        <v>674</v>
      </c>
      <c r="J29" s="1022" t="str">
        <f t="shared" si="14"/>
        <v xml:space="preserve"> </v>
      </c>
      <c r="K29" s="904" t="s">
        <v>0</v>
      </c>
      <c r="L29" s="882">
        <v>0</v>
      </c>
      <c r="M29" s="909" t="s">
        <v>0</v>
      </c>
      <c r="N29" s="899"/>
      <c r="O29" s="1029">
        <f t="shared" si="15"/>
        <v>0</v>
      </c>
      <c r="P29" s="1029">
        <f t="shared" si="10"/>
        <v>0</v>
      </c>
      <c r="Q29" s="1030">
        <f t="shared" si="16"/>
        <v>0</v>
      </c>
    </row>
    <row r="30" spans="2:17" ht="15.75" customHeight="1" thickBot="1">
      <c r="B30" s="911" t="s">
        <v>0</v>
      </c>
      <c r="C30" s="1015">
        <f>IF(L30=0,0,(IF((M30="C"),0,(MAX($C$6:C29)+1))))</f>
        <v>0</v>
      </c>
      <c r="D30" s="898" t="s">
        <v>0</v>
      </c>
      <c r="E30" s="899"/>
      <c r="F30" s="906">
        <f t="shared" si="12"/>
        <v>250519</v>
      </c>
      <c r="G30" s="1016">
        <f>COUNTIF($F$6:F30,F30)+COUNTIF(($F$6:F30),F30=F30)</f>
        <v>1</v>
      </c>
      <c r="H30" s="1018" t="str">
        <f t="shared" si="13"/>
        <v>250519-1</v>
      </c>
      <c r="I30" s="896" t="s">
        <v>674</v>
      </c>
      <c r="J30" s="1022" t="str">
        <f t="shared" si="14"/>
        <v xml:space="preserve"> </v>
      </c>
      <c r="K30" s="904" t="s">
        <v>0</v>
      </c>
      <c r="L30" s="882">
        <v>0</v>
      </c>
      <c r="M30" s="909" t="s">
        <v>0</v>
      </c>
      <c r="N30" s="899"/>
      <c r="O30" s="1029">
        <f t="shared" si="15"/>
        <v>0</v>
      </c>
      <c r="P30" s="1029">
        <f t="shared" si="10"/>
        <v>0</v>
      </c>
      <c r="Q30" s="1030">
        <f t="shared" si="16"/>
        <v>0</v>
      </c>
    </row>
    <row r="31" spans="2:17" ht="15.75" customHeight="1" thickBot="1">
      <c r="B31" s="911" t="s">
        <v>0</v>
      </c>
      <c r="C31" s="1015">
        <f>IF(L31=0,0,(IF((M31="C"),0,(MAX($C$6:C30)+1))))</f>
        <v>0</v>
      </c>
      <c r="D31" s="898" t="s">
        <v>0</v>
      </c>
      <c r="E31" s="899"/>
      <c r="F31" s="906">
        <f t="shared" si="12"/>
        <v>250520</v>
      </c>
      <c r="G31" s="1016">
        <f>COUNTIF($F$6:F31,F31)+COUNTIF(($F$6:F31),F31=F31)</f>
        <v>1</v>
      </c>
      <c r="H31" s="1018" t="str">
        <f t="shared" si="13"/>
        <v>250520-1</v>
      </c>
      <c r="I31" s="896" t="s">
        <v>674</v>
      </c>
      <c r="J31" s="1022" t="str">
        <f t="shared" si="14"/>
        <v xml:space="preserve"> </v>
      </c>
      <c r="K31" s="904" t="s">
        <v>0</v>
      </c>
      <c r="L31" s="882">
        <v>0</v>
      </c>
      <c r="M31" s="909" t="s">
        <v>0</v>
      </c>
      <c r="N31" s="899"/>
      <c r="O31" s="1029">
        <f t="shared" si="15"/>
        <v>0</v>
      </c>
      <c r="P31" s="1029">
        <f t="shared" si="10"/>
        <v>0</v>
      </c>
      <c r="Q31" s="1030">
        <f t="shared" si="16"/>
        <v>0</v>
      </c>
    </row>
    <row r="32" spans="2:17" ht="15.75" customHeight="1" thickBot="1">
      <c r="B32" s="911" t="s">
        <v>0</v>
      </c>
      <c r="C32" s="1015">
        <f>IF(L32=0,0,(IF((M32="C"),0,(MAX($C$6:C31)+1))))</f>
        <v>0</v>
      </c>
      <c r="D32" s="898" t="s">
        <v>0</v>
      </c>
      <c r="E32" s="899"/>
      <c r="F32" s="906">
        <f t="shared" si="12"/>
        <v>250521</v>
      </c>
      <c r="G32" s="1016">
        <f>COUNTIF($F$6:F32,F32)+COUNTIF(($F$6:F32),F32=F32)</f>
        <v>1</v>
      </c>
      <c r="H32" s="1018" t="str">
        <f t="shared" si="13"/>
        <v>250521-1</v>
      </c>
      <c r="I32" s="896" t="s">
        <v>674</v>
      </c>
      <c r="J32" s="1022" t="str">
        <f t="shared" si="14"/>
        <v xml:space="preserve"> </v>
      </c>
      <c r="K32" s="904" t="s">
        <v>0</v>
      </c>
      <c r="L32" s="882">
        <v>0</v>
      </c>
      <c r="M32" s="909" t="s">
        <v>0</v>
      </c>
      <c r="N32" s="899"/>
      <c r="O32" s="1029">
        <f t="shared" si="15"/>
        <v>0</v>
      </c>
      <c r="P32" s="1029">
        <f t="shared" si="10"/>
        <v>0</v>
      </c>
      <c r="Q32" s="1030">
        <f t="shared" si="16"/>
        <v>0</v>
      </c>
    </row>
    <row r="33" spans="2:17" ht="15.75" customHeight="1" thickBot="1">
      <c r="B33" s="911" t="s">
        <v>0</v>
      </c>
      <c r="C33" s="1015">
        <f>IF(L33=0,0,(IF((M33="C"),0,(MAX($C$6:C32)+1))))</f>
        <v>0</v>
      </c>
      <c r="D33" s="898" t="s">
        <v>0</v>
      </c>
      <c r="E33" s="899"/>
      <c r="F33" s="906">
        <f t="shared" si="12"/>
        <v>250522</v>
      </c>
      <c r="G33" s="1016">
        <f>COUNTIF($F$6:F33,F33)+COUNTIF(($F$6:F33),F33=F33)</f>
        <v>1</v>
      </c>
      <c r="H33" s="1018" t="str">
        <f t="shared" si="13"/>
        <v>250522-1</v>
      </c>
      <c r="I33" s="896" t="s">
        <v>674</v>
      </c>
      <c r="J33" s="1022" t="str">
        <f t="shared" si="14"/>
        <v xml:space="preserve"> </v>
      </c>
      <c r="K33" s="904" t="s">
        <v>0</v>
      </c>
      <c r="L33" s="882">
        <v>0</v>
      </c>
      <c r="M33" s="909" t="s">
        <v>0</v>
      </c>
      <c r="N33" s="899"/>
      <c r="O33" s="1029">
        <f t="shared" si="15"/>
        <v>0</v>
      </c>
      <c r="P33" s="1029">
        <f t="shared" si="10"/>
        <v>0</v>
      </c>
      <c r="Q33" s="1030">
        <f t="shared" si="16"/>
        <v>0</v>
      </c>
    </row>
    <row r="34" spans="2:17" ht="15.75" customHeight="1" thickBot="1">
      <c r="B34" s="911" t="s">
        <v>0</v>
      </c>
      <c r="C34" s="1015">
        <f>IF(L34=0,0,(IF((M34="C"),0,(MAX($C$6:C33)+1))))</f>
        <v>0</v>
      </c>
      <c r="D34" s="898" t="s">
        <v>0</v>
      </c>
      <c r="E34" s="899"/>
      <c r="F34" s="906">
        <f t="shared" si="12"/>
        <v>250523</v>
      </c>
      <c r="G34" s="1016">
        <f>COUNTIF($F$6:F34,F34)+COUNTIF(($F$6:F34),F34=F34)</f>
        <v>1</v>
      </c>
      <c r="H34" s="1018" t="str">
        <f t="shared" si="13"/>
        <v>250523-1</v>
      </c>
      <c r="I34" s="896" t="s">
        <v>674</v>
      </c>
      <c r="J34" s="1022" t="str">
        <f t="shared" si="14"/>
        <v xml:space="preserve"> </v>
      </c>
      <c r="K34" s="904" t="s">
        <v>0</v>
      </c>
      <c r="L34" s="882">
        <v>0</v>
      </c>
      <c r="M34" s="909" t="s">
        <v>0</v>
      </c>
      <c r="N34" s="899"/>
      <c r="O34" s="1029">
        <f t="shared" si="15"/>
        <v>0</v>
      </c>
      <c r="P34" s="1029">
        <f t="shared" si="10"/>
        <v>0</v>
      </c>
      <c r="Q34" s="1030">
        <f t="shared" si="16"/>
        <v>0</v>
      </c>
    </row>
    <row r="35" spans="2:17" ht="15.75" customHeight="1" thickBot="1">
      <c r="B35" s="911" t="s">
        <v>0</v>
      </c>
      <c r="C35" s="1015">
        <f>IF(L35=0,0,(IF((M35="C"),0,(MAX($C$6:C34)+1))))</f>
        <v>0</v>
      </c>
      <c r="D35" s="898" t="s">
        <v>0</v>
      </c>
      <c r="E35" s="899"/>
      <c r="F35" s="906">
        <f t="shared" si="12"/>
        <v>250524</v>
      </c>
      <c r="G35" s="1016">
        <f>COUNTIF($F$6:F35,F35)+COUNTIF(($F$6:F35),F35=F35)</f>
        <v>1</v>
      </c>
      <c r="H35" s="1018" t="str">
        <f t="shared" si="13"/>
        <v>250524-1</v>
      </c>
      <c r="I35" s="896" t="s">
        <v>674</v>
      </c>
      <c r="J35" s="1022" t="str">
        <f t="shared" si="14"/>
        <v xml:space="preserve"> </v>
      </c>
      <c r="K35" s="904" t="s">
        <v>0</v>
      </c>
      <c r="L35" s="882">
        <v>0</v>
      </c>
      <c r="M35" s="909" t="s">
        <v>0</v>
      </c>
      <c r="N35" s="899"/>
      <c r="O35" s="1029">
        <f t="shared" si="15"/>
        <v>0</v>
      </c>
      <c r="P35" s="1029">
        <f t="shared" si="10"/>
        <v>0</v>
      </c>
      <c r="Q35" s="1030">
        <f t="shared" si="16"/>
        <v>0</v>
      </c>
    </row>
    <row r="36" spans="2:17" ht="15.75" customHeight="1" thickBot="1">
      <c r="B36" s="911" t="s">
        <v>0</v>
      </c>
      <c r="C36" s="1015">
        <f>IF(L36=0,0,(IF((M36="C"),0,(MAX($C$6:C35)+1))))</f>
        <v>0</v>
      </c>
      <c r="D36" s="898" t="s">
        <v>0</v>
      </c>
      <c r="E36" s="899"/>
      <c r="F36" s="906">
        <f t="shared" si="12"/>
        <v>250525</v>
      </c>
      <c r="G36" s="1016">
        <f>COUNTIF($F$6:F36,F36)+COUNTIF(($F$6:F36),F36=F36)</f>
        <v>1</v>
      </c>
      <c r="H36" s="1018" t="str">
        <f t="shared" si="13"/>
        <v>250525-1</v>
      </c>
      <c r="I36" s="896" t="s">
        <v>674</v>
      </c>
      <c r="J36" s="1022" t="str">
        <f t="shared" si="14"/>
        <v xml:space="preserve"> </v>
      </c>
      <c r="K36" s="904" t="s">
        <v>0</v>
      </c>
      <c r="L36" s="882">
        <v>0</v>
      </c>
      <c r="M36" s="909" t="s">
        <v>0</v>
      </c>
      <c r="N36" s="899"/>
      <c r="O36" s="1029">
        <f t="shared" si="15"/>
        <v>0</v>
      </c>
      <c r="P36" s="1029">
        <f t="shared" si="10"/>
        <v>0</v>
      </c>
      <c r="Q36" s="1030">
        <f t="shared" si="16"/>
        <v>0</v>
      </c>
    </row>
    <row r="37" spans="2:17" ht="15.75" customHeight="1" thickBot="1">
      <c r="B37" s="911" t="s">
        <v>0</v>
      </c>
      <c r="C37" s="1015">
        <f>IF(L37=0,0,(IF((M37="C"),0,(MAX($C$6:C36)+1))))</f>
        <v>0</v>
      </c>
      <c r="D37" s="898" t="s">
        <v>0</v>
      </c>
      <c r="E37" s="899"/>
      <c r="F37" s="906">
        <f t="shared" si="12"/>
        <v>250526</v>
      </c>
      <c r="G37" s="1016">
        <f>COUNTIF($F$6:F37,F37)+COUNTIF(($F$6:F37),F37=F37)</f>
        <v>1</v>
      </c>
      <c r="H37" s="1018" t="str">
        <f t="shared" si="13"/>
        <v>250526-1</v>
      </c>
      <c r="I37" s="896" t="s">
        <v>674</v>
      </c>
      <c r="J37" s="1022" t="str">
        <f t="shared" si="14"/>
        <v xml:space="preserve"> </v>
      </c>
      <c r="K37" s="904" t="s">
        <v>0</v>
      </c>
      <c r="L37" s="882">
        <v>0</v>
      </c>
      <c r="M37" s="909" t="s">
        <v>0</v>
      </c>
      <c r="N37" s="899"/>
      <c r="O37" s="1029">
        <f t="shared" si="15"/>
        <v>0</v>
      </c>
      <c r="P37" s="1029">
        <f t="shared" si="10"/>
        <v>0</v>
      </c>
      <c r="Q37" s="1030">
        <f t="shared" si="16"/>
        <v>0</v>
      </c>
    </row>
    <row r="38" spans="2:17" ht="15.75" customHeight="1" thickBot="1">
      <c r="B38" s="911" t="s">
        <v>0</v>
      </c>
      <c r="C38" s="1015">
        <f>IF(L38=0,0,(IF((M38="C"),0,(MAX($C$6:C37)+1))))</f>
        <v>0</v>
      </c>
      <c r="D38" s="898" t="s">
        <v>0</v>
      </c>
      <c r="E38" s="899"/>
      <c r="F38" s="906">
        <f t="shared" si="12"/>
        <v>250527</v>
      </c>
      <c r="G38" s="1016">
        <f>COUNTIF($F$6:F38,F38)+COUNTIF(($F$6:F38),F38=F38)</f>
        <v>1</v>
      </c>
      <c r="H38" s="1018" t="str">
        <f t="shared" si="13"/>
        <v>250527-1</v>
      </c>
      <c r="I38" s="896" t="s">
        <v>674</v>
      </c>
      <c r="J38" s="1022" t="str">
        <f t="shared" si="14"/>
        <v xml:space="preserve"> </v>
      </c>
      <c r="K38" s="904" t="s">
        <v>0</v>
      </c>
      <c r="L38" s="882">
        <v>0</v>
      </c>
      <c r="M38" s="909" t="s">
        <v>0</v>
      </c>
      <c r="N38" s="899"/>
      <c r="O38" s="1029">
        <f t="shared" si="15"/>
        <v>0</v>
      </c>
      <c r="P38" s="1029">
        <f t="shared" si="10"/>
        <v>0</v>
      </c>
      <c r="Q38" s="1030">
        <f t="shared" si="16"/>
        <v>0</v>
      </c>
    </row>
    <row r="39" spans="2:17" ht="15.75" customHeight="1" thickBot="1">
      <c r="B39" s="911" t="s">
        <v>0</v>
      </c>
      <c r="C39" s="1015">
        <f>IF(L39=0,0,(IF((M39="C"),0,(MAX($C$6:C38)+1))))</f>
        <v>0</v>
      </c>
      <c r="D39" s="898" t="s">
        <v>0</v>
      </c>
      <c r="E39" s="899"/>
      <c r="F39" s="906">
        <f t="shared" si="5"/>
        <v>250528</v>
      </c>
      <c r="G39" s="1016">
        <f>COUNTIF($F$6:F39,F39)+COUNTIF(($F$6:F39),F39=F39)</f>
        <v>1</v>
      </c>
      <c r="H39" s="1018" t="str">
        <f t="shared" si="11"/>
        <v>250528-1</v>
      </c>
      <c r="I39" s="896" t="s">
        <v>674</v>
      </c>
      <c r="J39" s="1022" t="str">
        <f t="shared" si="7"/>
        <v xml:space="preserve"> </v>
      </c>
      <c r="K39" s="904" t="s">
        <v>0</v>
      </c>
      <c r="L39" s="882">
        <v>0</v>
      </c>
      <c r="M39" s="909" t="s">
        <v>0</v>
      </c>
      <c r="N39" s="899"/>
      <c r="O39" s="1029">
        <f t="shared" si="8"/>
        <v>0</v>
      </c>
      <c r="P39" s="1029">
        <f t="shared" si="10"/>
        <v>0</v>
      </c>
      <c r="Q39" s="1030">
        <f t="shared" si="9"/>
        <v>0</v>
      </c>
    </row>
    <row r="40" spans="2:17" ht="15.75" customHeight="1" thickBot="1">
      <c r="B40" s="911" t="s">
        <v>0</v>
      </c>
      <c r="C40" s="1015">
        <f>IF(L40=0,0,(IF((M40="C"),0,(MAX($C$6:C39)+1))))</f>
        <v>0</v>
      </c>
      <c r="D40" s="898" t="s">
        <v>0</v>
      </c>
      <c r="E40" s="899"/>
      <c r="F40" s="906">
        <f t="shared" si="5"/>
        <v>250529</v>
      </c>
      <c r="G40" s="1016">
        <f>COUNTIF($F$6:F40,F40)+COUNTIF(($F$6:F40),F40=F40)</f>
        <v>1</v>
      </c>
      <c r="H40" s="1018" t="str">
        <f t="shared" si="11"/>
        <v>250529-1</v>
      </c>
      <c r="I40" s="896" t="s">
        <v>674</v>
      </c>
      <c r="J40" s="1022" t="str">
        <f t="shared" si="7"/>
        <v xml:space="preserve"> </v>
      </c>
      <c r="K40" s="904" t="s">
        <v>0</v>
      </c>
      <c r="L40" s="882">
        <v>0</v>
      </c>
      <c r="M40" s="909" t="s">
        <v>0</v>
      </c>
      <c r="N40" s="899"/>
      <c r="O40" s="1029">
        <f t="shared" si="8"/>
        <v>0</v>
      </c>
      <c r="P40" s="1029">
        <f t="shared" si="10"/>
        <v>0</v>
      </c>
      <c r="Q40" s="1030">
        <f t="shared" si="9"/>
        <v>0</v>
      </c>
    </row>
    <row r="41" spans="2:17" ht="15.75" customHeight="1">
      <c r="B41" s="883" t="s">
        <v>1634</v>
      </c>
      <c r="C41" s="894">
        <f>IF(L41=0,0,(IF((M41="C"),0,(MAX($C$6:C40)+1))))</f>
        <v>0</v>
      </c>
      <c r="D41" s="884"/>
      <c r="E41" s="885"/>
      <c r="F41" s="886"/>
      <c r="G41" s="893">
        <f>COUNTIF($F$6:F41,F41)+COUNTIF(($F$6:F41),F41=F41)</f>
        <v>0</v>
      </c>
      <c r="H41" s="887" t="str">
        <f t="shared" ref="H41" si="17">CONCATENATE(F41,"-",G41)</f>
        <v>-0</v>
      </c>
      <c r="I41" s="888" t="s">
        <v>674</v>
      </c>
      <c r="J41" s="889" t="str">
        <f t="shared" ref="J41" si="18">B41</f>
        <v>TEMPLATE ROW</v>
      </c>
      <c r="K41" s="885"/>
      <c r="L41" s="885"/>
      <c r="M41" s="890"/>
      <c r="N41" s="885"/>
      <c r="O41" s="891">
        <f>IF(K41="Y",((L41/1.15)*-0.15),0)</f>
        <v>0</v>
      </c>
      <c r="P41" s="891">
        <f>(L41+O41)*-1</f>
        <v>0</v>
      </c>
      <c r="Q41" s="892">
        <f>IF(N41="2150 Accounts Payable",L41*-1,0)</f>
        <v>0</v>
      </c>
    </row>
    <row r="46" spans="2:17" ht="15.75" customHeight="1">
      <c r="B46" s="3" t="s">
        <v>0</v>
      </c>
    </row>
  </sheetData>
  <phoneticPr fontId="11" type="noConversion"/>
  <hyperlinks>
    <hyperlink ref="A1" location="'TABLE OF CONTENTS'!A1" display="INDEX" xr:uid="{FA19AE3A-91A0-42A8-9A6A-1811D583DF3A}"/>
  </hyperlink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2">
        <x14:dataValidation type="list" allowBlank="1" xr:uid="{8CE9F49E-25F1-4FE2-95C8-B6552B4C5599}">
          <x14:formula1>
            <xm:f>COA!$D$8:$D$169</xm:f>
          </x14:formula1>
          <xm:sqref>N7:N41</xm:sqref>
        </x14:dataValidation>
        <x14:dataValidation type="list" allowBlank="1" showInputMessage="1" showErrorMessage="1" xr:uid="{079FDD3C-1204-4163-B651-132380C719E5}">
          <x14:formula1>
            <xm:f>VENDORS!$D$3:$D$13</xm:f>
          </x14:formula1>
          <xm:sqref>B7:B40</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55">
    <tabColor rgb="FF0070C0"/>
    <outlinePr summaryBelow="0" summaryRight="0"/>
  </sheetPr>
  <dimension ref="A1:BF35"/>
  <sheetViews>
    <sheetView workbookViewId="0"/>
  </sheetViews>
  <sheetFormatPr defaultColWidth="12.5703125" defaultRowHeight="15" customHeight="1"/>
  <cols>
    <col min="1" max="1" width="6.85546875" style="3" bestFit="1" customWidth="1"/>
    <col min="2" max="2" width="5.7109375" style="3" customWidth="1"/>
    <col min="3" max="3" width="12.42578125" style="115" customWidth="1"/>
    <col min="4" max="4" width="13" style="3" customWidth="1"/>
    <col min="5" max="5" width="38.42578125" style="125" customWidth="1"/>
    <col min="6" max="6" width="33" style="275" customWidth="1"/>
    <col min="7" max="7" width="22.85546875" style="276" customWidth="1"/>
    <col min="8" max="8" width="61.5703125" style="3" customWidth="1"/>
    <col min="9" max="9" width="18.140625" style="115" customWidth="1"/>
    <col min="10" max="10" width="12.5703125" style="3" customWidth="1"/>
    <col min="11" max="11" width="12" style="52" customWidth="1"/>
    <col min="12" max="12" width="11.5703125" style="3" customWidth="1"/>
    <col min="13" max="13" width="25.140625" style="973" customWidth="1"/>
    <col min="14" max="14" width="12.85546875" style="3" customWidth="1"/>
    <col min="15" max="15" width="11.85546875" style="3" customWidth="1"/>
    <col min="16" max="16" width="11.7109375" style="3" customWidth="1"/>
    <col min="17" max="20" width="12.5703125" style="3"/>
    <col min="21" max="21" width="17" style="3" customWidth="1"/>
    <col min="22" max="16384" width="12.5703125" style="3"/>
  </cols>
  <sheetData>
    <row r="1" spans="1:58" ht="15" customHeight="1">
      <c r="A1" s="59" t="s">
        <v>1650</v>
      </c>
      <c r="B1"/>
      <c r="C1" s="212" t="s">
        <v>1078</v>
      </c>
      <c r="BF1" s="776">
        <f>COUNT(J:J,"&lt;&gt;0")</f>
        <v>6</v>
      </c>
    </row>
    <row r="2" spans="1:58" ht="15" customHeight="1">
      <c r="A2" s="1"/>
      <c r="B2" s="1"/>
      <c r="C2" s="31" t="str">
        <f>COA!$B$2</f>
        <v>ANONYMOUS COMPANY</v>
      </c>
      <c r="J2" s="6"/>
      <c r="K2" s="23"/>
      <c r="L2" s="1"/>
      <c r="M2" s="213"/>
      <c r="N2" s="1"/>
      <c r="O2" s="1"/>
      <c r="P2" s="1"/>
    </row>
    <row r="3" spans="1:58" ht="15" customHeight="1">
      <c r="A3" s="1"/>
      <c r="B3" s="1"/>
      <c r="C3" s="46" t="s">
        <v>167</v>
      </c>
      <c r="G3" s="277"/>
      <c r="H3" s="1"/>
      <c r="I3" s="2"/>
      <c r="J3" s="6"/>
      <c r="K3" s="23"/>
      <c r="L3" s="1"/>
      <c r="M3" s="213"/>
      <c r="N3" s="1"/>
      <c r="O3" s="1"/>
      <c r="P3" s="1"/>
    </row>
    <row r="4" spans="1:58" ht="15" customHeight="1">
      <c r="A4" s="1"/>
      <c r="B4" s="1"/>
      <c r="C4" s="62" t="str">
        <f>"FOR THE PERIOD ENDED "&amp;UPPER(TEXT(COA!B4,"MMMM DD, YYYY"))</f>
        <v>FOR THE PERIOD ENDED DECEMBER 31, 2025</v>
      </c>
      <c r="F4" s="91"/>
      <c r="G4" s="277"/>
      <c r="H4" s="1"/>
      <c r="I4" s="2"/>
      <c r="J4" s="6"/>
      <c r="K4" s="23"/>
      <c r="L4" s="1067"/>
      <c r="M4" s="1068" t="s">
        <v>25</v>
      </c>
      <c r="N4" s="1051">
        <f>SUM(N6:N35)</f>
        <v>0</v>
      </c>
      <c r="O4" s="1"/>
      <c r="P4" s="1"/>
    </row>
    <row r="5" spans="1:58" ht="24" customHeight="1">
      <c r="A5" s="54"/>
      <c r="B5" s="54" t="s">
        <v>0</v>
      </c>
      <c r="C5" s="855" t="s">
        <v>8</v>
      </c>
      <c r="D5" s="855" t="s">
        <v>6</v>
      </c>
      <c r="E5" s="960" t="s">
        <v>168</v>
      </c>
      <c r="F5" s="961" t="s">
        <v>9</v>
      </c>
      <c r="G5" s="962" t="s">
        <v>7</v>
      </c>
      <c r="H5" s="963" t="s">
        <v>169</v>
      </c>
      <c r="I5" s="987" t="s">
        <v>1637</v>
      </c>
      <c r="J5" s="852" t="s">
        <v>170</v>
      </c>
      <c r="K5" s="110" t="s">
        <v>171</v>
      </c>
      <c r="L5" s="852" t="s">
        <v>42</v>
      </c>
      <c r="M5" s="857" t="s">
        <v>10</v>
      </c>
      <c r="N5" s="110" t="s">
        <v>13</v>
      </c>
      <c r="O5" s="852" t="s">
        <v>172</v>
      </c>
      <c r="P5" s="852" t="s">
        <v>47</v>
      </c>
      <c r="Q5" s="856" t="s">
        <v>173</v>
      </c>
    </row>
    <row r="6" spans="1:58" ht="24" customHeight="1">
      <c r="A6" s="54"/>
      <c r="B6" s="54"/>
      <c r="C6" s="847">
        <v>2506199</v>
      </c>
      <c r="D6" s="46" t="s">
        <v>150</v>
      </c>
      <c r="E6" s="964"/>
      <c r="F6" s="1034" t="s">
        <v>1638</v>
      </c>
      <c r="G6" s="1032">
        <v>221338</v>
      </c>
      <c r="H6" s="965"/>
      <c r="I6" s="988"/>
      <c r="J6" s="966">
        <f>SUM(J9:J35)</f>
        <v>20725</v>
      </c>
      <c r="K6" s="966">
        <f>SUM(K9:K35)</f>
        <v>3108.75</v>
      </c>
      <c r="L6" s="966">
        <f>SUM(L9:L35)</f>
        <v>23833.75</v>
      </c>
      <c r="M6" s="974" t="s">
        <v>82</v>
      </c>
      <c r="N6" s="860">
        <f>SUM(L9:L35)</f>
        <v>23833.75</v>
      </c>
      <c r="O6" s="858"/>
      <c r="P6" s="859">
        <f>SUM(P9:P34)</f>
        <v>8572.5</v>
      </c>
      <c r="Q6" s="859"/>
    </row>
    <row r="7" spans="1:58" ht="24" customHeight="1" thickBot="1">
      <c r="A7" s="54"/>
      <c r="B7" s="54"/>
      <c r="C7" s="949">
        <v>25016199</v>
      </c>
      <c r="D7" s="1063" t="s">
        <v>150</v>
      </c>
      <c r="E7" s="967"/>
      <c r="F7" s="1044" t="s">
        <v>677</v>
      </c>
      <c r="G7" s="1042">
        <v>221338</v>
      </c>
      <c r="H7" s="968"/>
      <c r="I7" s="989"/>
      <c r="J7" s="969"/>
      <c r="K7" s="970"/>
      <c r="L7" s="969"/>
      <c r="M7" s="975" t="s">
        <v>89</v>
      </c>
      <c r="N7" s="971">
        <f>SUM(K9:K35)*-1</f>
        <v>-3108.75</v>
      </c>
      <c r="O7" s="969"/>
      <c r="P7" s="969"/>
      <c r="Q7" s="972"/>
    </row>
    <row r="8" spans="1:58" ht="24" hidden="1" customHeight="1" thickTop="1">
      <c r="A8" s="90">
        <f>IF((P8&gt;0.01),(MAX($A$4:A7)+1),0)</f>
        <v>0</v>
      </c>
      <c r="B8" s="90" t="s">
        <v>0</v>
      </c>
      <c r="C8" s="216" t="s">
        <v>0</v>
      </c>
      <c r="D8" s="227" t="s">
        <v>0</v>
      </c>
      <c r="E8" s="279" t="s">
        <v>0</v>
      </c>
      <c r="F8" s="1002" t="str">
        <f>MID(E8,8,45)</f>
        <v/>
      </c>
      <c r="G8" s="280" t="s">
        <v>0</v>
      </c>
      <c r="H8" s="276" t="s">
        <v>0</v>
      </c>
      <c r="I8" s="990" t="s">
        <v>867</v>
      </c>
      <c r="J8" s="557">
        <v>0</v>
      </c>
      <c r="K8" s="1066">
        <f>IF(DE_SJ[[#This Row],[H S T 
CODE]]="Y",DE_SJ[[#This Row],[FEES]]*0.15,0)</f>
        <v>0</v>
      </c>
      <c r="L8" s="1065">
        <f>DE_SJ[[#This Row],[FEES]]+DE_SJ[[#This Row],[HST]]</f>
        <v>0</v>
      </c>
      <c r="M8" s="974" t="s">
        <v>1251</v>
      </c>
      <c r="N8" s="1064">
        <f>DE_SJ[[#This Row],[FEES]]*-1</f>
        <v>0</v>
      </c>
      <c r="O8" s="829">
        <f>SUMIFS(CR!H:H,CR!C:C, C8)</f>
        <v>0</v>
      </c>
      <c r="P8" s="1065">
        <f t="shared" ref="P8" si="0">L8-O8</f>
        <v>0</v>
      </c>
    </row>
    <row r="9" spans="1:58" ht="21.75" customHeight="1" thickTop="1">
      <c r="A9" s="90">
        <f>IF((P9&gt;0.01),(MAX($A$4:A8)+1),0)</f>
        <v>0</v>
      </c>
      <c r="B9" s="90" t="s">
        <v>0</v>
      </c>
      <c r="C9" s="216" t="s">
        <v>679</v>
      </c>
      <c r="D9" s="227" t="s">
        <v>150</v>
      </c>
      <c r="E9" s="279" t="s">
        <v>711</v>
      </c>
      <c r="F9" s="1002" t="str">
        <f>MID(E9,8,45)</f>
        <v>KEITH'S WINE BAR</v>
      </c>
      <c r="G9" s="815">
        <v>45664</v>
      </c>
      <c r="H9" s="276" t="s">
        <v>681</v>
      </c>
      <c r="I9" s="990" t="s">
        <v>867</v>
      </c>
      <c r="J9" s="557">
        <v>3000</v>
      </c>
      <c r="K9" s="1066">
        <f>IF(DE_SJ[[#This Row],[H S T 
CODE]]="Y",DE_SJ[[#This Row],[FEES]]*0.15,0)</f>
        <v>450</v>
      </c>
      <c r="L9" s="1065">
        <f>DE_SJ[[#This Row],[FEES]]+DE_SJ[[#This Row],[HST]]</f>
        <v>3450</v>
      </c>
      <c r="M9" s="974" t="s">
        <v>1251</v>
      </c>
      <c r="N9" s="1064">
        <f>DE_SJ[[#This Row],[FEES]]*-1</f>
        <v>-3000</v>
      </c>
      <c r="O9" s="829">
        <f>SUMIFS(CR!G:G,CR!B:B, C9)</f>
        <v>3450</v>
      </c>
      <c r="P9" s="1065">
        <f t="shared" ref="P9:P35" si="1">L9-O9</f>
        <v>0</v>
      </c>
      <c r="S9" s="281" t="s">
        <v>0</v>
      </c>
    </row>
    <row r="10" spans="1:58" ht="15" customHeight="1">
      <c r="A10" s="90">
        <f>IF((P10&gt;0.01),(MAX($A$4:A9)+1),0)</f>
        <v>0</v>
      </c>
      <c r="B10" s="90" t="s">
        <v>0</v>
      </c>
      <c r="C10" s="100" t="str">
        <f t="shared" ref="C10:C12" si="2">LEFT(C9, 3) &amp; TEXT(VALUE(RIGHT(C9, 6)) + 1, "000")</f>
        <v>SJ-251182</v>
      </c>
      <c r="D10" s="227" t="s">
        <v>150</v>
      </c>
      <c r="E10" s="279" t="s">
        <v>712</v>
      </c>
      <c r="F10" s="1002" t="str">
        <f t="shared" ref="F10:F12" si="3">MID(E10,8,45)</f>
        <v xml:space="preserve">COTTAGES FOR RENT </v>
      </c>
      <c r="G10" s="280">
        <v>45706</v>
      </c>
      <c r="H10" s="282" t="s">
        <v>682</v>
      </c>
      <c r="I10" s="991" t="s">
        <v>867</v>
      </c>
      <c r="J10" s="283">
        <v>1575</v>
      </c>
      <c r="K10" s="1066">
        <f>IF(DE_SJ[[#This Row],[H S T 
CODE]]="Y",DE_SJ[[#This Row],[FEES]]*0.15,0)</f>
        <v>236.25</v>
      </c>
      <c r="L10" s="1065">
        <f>DE_SJ[[#This Row],[FEES]]+DE_SJ[[#This Row],[HST]]</f>
        <v>1811.25</v>
      </c>
      <c r="M10" s="974" t="s">
        <v>1251</v>
      </c>
      <c r="N10" s="1064">
        <f>DE_SJ[[#This Row],[FEES]]*-1</f>
        <v>-1575</v>
      </c>
      <c r="O10" s="829">
        <f>SUMIFS(CR!G:G,CR!B:B, C10)</f>
        <v>1811.25</v>
      </c>
      <c r="P10" s="1065">
        <f t="shared" si="1"/>
        <v>0</v>
      </c>
      <c r="S10" s="281"/>
    </row>
    <row r="11" spans="1:58" ht="15" customHeight="1">
      <c r="A11" s="90">
        <f>IF((P11&gt;0.01),(MAX($A$4:A10)+1),0)</f>
        <v>1</v>
      </c>
      <c r="B11" s="90" t="s">
        <v>0</v>
      </c>
      <c r="C11" s="100" t="str">
        <f t="shared" si="2"/>
        <v>SJ-251183</v>
      </c>
      <c r="D11" s="227" t="s">
        <v>150</v>
      </c>
      <c r="E11" s="279" t="s">
        <v>714</v>
      </c>
      <c r="F11" s="1002" t="str">
        <f t="shared" si="3"/>
        <v>BIG BAD WOLF INC</v>
      </c>
      <c r="G11" s="280">
        <v>45777</v>
      </c>
      <c r="H11" s="339" t="s">
        <v>684</v>
      </c>
      <c r="I11" s="992" t="s">
        <v>867</v>
      </c>
      <c r="J11" s="283">
        <v>15000</v>
      </c>
      <c r="K11" s="1066">
        <f>IF(DE_SJ[[#This Row],[H S T 
CODE]]="Y",DE_SJ[[#This Row],[FEES]]*0.15,0)</f>
        <v>2250</v>
      </c>
      <c r="L11" s="1065">
        <f>DE_SJ[[#This Row],[FEES]]+DE_SJ[[#This Row],[HST]]</f>
        <v>17250</v>
      </c>
      <c r="M11" s="974" t="s">
        <v>1251</v>
      </c>
      <c r="N11" s="1064">
        <f>DE_SJ[[#This Row],[FEES]]*-1</f>
        <v>-15000</v>
      </c>
      <c r="O11" s="829">
        <f>SUMIFS(CR!G:G,CR!B:B, C11)</f>
        <v>10000</v>
      </c>
      <c r="P11" s="1065">
        <f t="shared" si="1"/>
        <v>7250</v>
      </c>
      <c r="S11" s="281"/>
    </row>
    <row r="12" spans="1:58" ht="15" customHeight="1">
      <c r="A12" s="90">
        <f>IF((P12&gt;0.01),(MAX($A$4:A11)+1),0)</f>
        <v>2</v>
      </c>
      <c r="B12" s="90" t="s">
        <v>0</v>
      </c>
      <c r="C12" s="100" t="str">
        <f t="shared" si="2"/>
        <v>SJ-251184</v>
      </c>
      <c r="D12" s="227" t="s">
        <v>150</v>
      </c>
      <c r="E12" s="279" t="s">
        <v>713</v>
      </c>
      <c r="F12" s="1002" t="str">
        <f t="shared" si="3"/>
        <v>OLEANNA'S LITTLE HELPER INC</v>
      </c>
      <c r="G12" s="280">
        <v>45752</v>
      </c>
      <c r="H12" s="282" t="s">
        <v>683</v>
      </c>
      <c r="I12" s="991" t="s">
        <v>867</v>
      </c>
      <c r="J12" s="283">
        <v>1150</v>
      </c>
      <c r="K12" s="1066">
        <f>IF(DE_SJ[[#This Row],[H S T 
CODE]]="Y",DE_SJ[[#This Row],[FEES]]*0.15,0)</f>
        <v>172.5</v>
      </c>
      <c r="L12" s="1065">
        <f>DE_SJ[[#This Row],[FEES]]+DE_SJ[[#This Row],[HST]]</f>
        <v>1322.5</v>
      </c>
      <c r="M12" s="974" t="s">
        <v>1251</v>
      </c>
      <c r="N12" s="1064">
        <f>DE_SJ[[#This Row],[FEES]]*-1</f>
        <v>-1150</v>
      </c>
      <c r="O12" s="829">
        <f>SUMIFS(CR!G:G,CR!B:B, C12)</f>
        <v>0</v>
      </c>
      <c r="P12" s="1065">
        <f t="shared" si="1"/>
        <v>1322.5</v>
      </c>
      <c r="S12" s="281"/>
    </row>
    <row r="13" spans="1:58" ht="15" customHeight="1">
      <c r="A13" s="90">
        <f>IF((P13&gt;0.01),(MAX($A$4:A12)+1),0)</f>
        <v>0</v>
      </c>
      <c r="B13" s="90" t="s">
        <v>0</v>
      </c>
      <c r="C13" s="100"/>
      <c r="D13" s="227" t="s">
        <v>0</v>
      </c>
      <c r="E13" s="279"/>
      <c r="F13" s="1002"/>
      <c r="G13" s="280"/>
      <c r="H13" s="339"/>
      <c r="I13" s="992"/>
      <c r="J13" s="283"/>
      <c r="K13" s="1066">
        <f>IF(DE_SJ[[#This Row],[H S T 
CODE]]="Y",DE_SJ[[#This Row],[FEES]]*0.15,0)</f>
        <v>0</v>
      </c>
      <c r="L13" s="1065">
        <f>DE_SJ[[#This Row],[FEES]]+DE_SJ[[#This Row],[HST]]</f>
        <v>0</v>
      </c>
      <c r="M13" s="974"/>
      <c r="N13" s="1064">
        <f>DE_SJ[[#This Row],[FEES]]*-1</f>
        <v>0</v>
      </c>
      <c r="O13" s="829">
        <f>SUMIFS(CR!G:G,CR!B:B, C13)</f>
        <v>0</v>
      </c>
      <c r="P13" s="1065">
        <f t="shared" si="1"/>
        <v>0</v>
      </c>
      <c r="S13" s="281"/>
    </row>
    <row r="14" spans="1:58" ht="15" customHeight="1">
      <c r="A14" s="90">
        <f>IF((P14&gt;0.01),(MAX($A$4:A13)+1),0)</f>
        <v>0</v>
      </c>
      <c r="B14" s="90" t="s">
        <v>0</v>
      </c>
      <c r="C14" s="100"/>
      <c r="D14" s="227" t="s">
        <v>0</v>
      </c>
      <c r="E14" s="279"/>
      <c r="F14" s="1002"/>
      <c r="G14" s="280"/>
      <c r="H14" s="339"/>
      <c r="I14" s="992"/>
      <c r="J14" s="283"/>
      <c r="K14" s="1066">
        <f>IF(DE_SJ[[#This Row],[H S T 
CODE]]="Y",DE_SJ[[#This Row],[FEES]]*0.15,0)</f>
        <v>0</v>
      </c>
      <c r="L14" s="1065">
        <f>DE_SJ[[#This Row],[FEES]]+DE_SJ[[#This Row],[HST]]</f>
        <v>0</v>
      </c>
      <c r="M14" s="974"/>
      <c r="N14" s="1064">
        <f>DE_SJ[[#This Row],[FEES]]*-1</f>
        <v>0</v>
      </c>
      <c r="O14" s="829">
        <f>SUMIFS(CR!G:G,CR!B:B, C14)</f>
        <v>0</v>
      </c>
      <c r="P14" s="1065">
        <f t="shared" si="1"/>
        <v>0</v>
      </c>
      <c r="S14" s="281"/>
    </row>
    <row r="15" spans="1:58" ht="15" customHeight="1">
      <c r="A15" s="90">
        <f>IF((P15&gt;0.01),(MAX($A$4:A14)+1),0)</f>
        <v>0</v>
      </c>
      <c r="B15" s="90" t="s">
        <v>0</v>
      </c>
      <c r="C15" s="100"/>
      <c r="D15" s="227" t="s">
        <v>0</v>
      </c>
      <c r="E15" s="279"/>
      <c r="F15" s="1002"/>
      <c r="G15" s="280"/>
      <c r="H15" s="339"/>
      <c r="I15" s="992"/>
      <c r="J15" s="340"/>
      <c r="K15" s="1066">
        <f>IF(DE_SJ[[#This Row],[H S T 
CODE]]="Y",DE_SJ[[#This Row],[FEES]]*0.15,0)</f>
        <v>0</v>
      </c>
      <c r="L15" s="1065">
        <f>DE_SJ[[#This Row],[FEES]]+DE_SJ[[#This Row],[HST]]</f>
        <v>0</v>
      </c>
      <c r="M15" s="974"/>
      <c r="N15" s="1064">
        <f>DE_SJ[[#This Row],[FEES]]*-1</f>
        <v>0</v>
      </c>
      <c r="O15" s="829">
        <f>SUMIFS(CR!G:G,CR!B:B, C15)</f>
        <v>0</v>
      </c>
      <c r="P15" s="1065">
        <f t="shared" si="1"/>
        <v>0</v>
      </c>
      <c r="S15" s="100"/>
      <c r="T15" s="100"/>
      <c r="U15" s="131"/>
      <c r="V15" s="281"/>
    </row>
    <row r="16" spans="1:58" ht="15" customHeight="1">
      <c r="A16" s="90">
        <f>IF((P16&gt;0.01),(MAX($A$4:A15)+1),0)</f>
        <v>0</v>
      </c>
      <c r="B16" s="90" t="s">
        <v>0</v>
      </c>
      <c r="C16" s="100"/>
      <c r="D16" s="227" t="s">
        <v>0</v>
      </c>
      <c r="E16" s="279"/>
      <c r="F16" s="1002"/>
      <c r="G16" s="280"/>
      <c r="H16" s="339"/>
      <c r="I16" s="992"/>
      <c r="J16" s="557"/>
      <c r="K16" s="1066">
        <f>IF(DE_SJ[[#This Row],[H S T 
CODE]]="Y",DE_SJ[[#This Row],[FEES]]*0.15,0)</f>
        <v>0</v>
      </c>
      <c r="L16" s="1065">
        <f>DE_SJ[[#This Row],[FEES]]+DE_SJ[[#This Row],[HST]]</f>
        <v>0</v>
      </c>
      <c r="M16" s="974"/>
      <c r="N16" s="1064">
        <f>DE_SJ[[#This Row],[FEES]]*-1</f>
        <v>0</v>
      </c>
      <c r="O16" s="829">
        <f>SUMIFS(CR!G:G,CR!B:B, C16)</f>
        <v>0</v>
      </c>
      <c r="P16" s="1065">
        <f t="shared" si="1"/>
        <v>0</v>
      </c>
      <c r="S16" s="100"/>
      <c r="T16" s="100"/>
      <c r="U16" s="131"/>
      <c r="V16" s="281"/>
    </row>
    <row r="17" spans="1:17" ht="15" customHeight="1">
      <c r="A17" s="90">
        <f>IF((P17&gt;0.01),(MAX($A$4:A16)+1),0)</f>
        <v>0</v>
      </c>
      <c r="B17" s="90" t="s">
        <v>0</v>
      </c>
      <c r="C17" s="100"/>
      <c r="D17" s="227" t="s">
        <v>1</v>
      </c>
      <c r="E17" s="279"/>
      <c r="F17" s="1002"/>
      <c r="G17" s="280"/>
      <c r="H17" s="339"/>
      <c r="I17" s="992"/>
      <c r="J17" s="557"/>
      <c r="K17" s="1066">
        <f>IF(DE_SJ[[#This Row],[H S T 
CODE]]="Y",DE_SJ[[#This Row],[FEES]]*0.15,0)</f>
        <v>0</v>
      </c>
      <c r="L17" s="1065">
        <f>DE_SJ[[#This Row],[FEES]]+DE_SJ[[#This Row],[HST]]</f>
        <v>0</v>
      </c>
      <c r="M17" s="974"/>
      <c r="N17" s="1064">
        <f>DE_SJ[[#This Row],[FEES]]*-1</f>
        <v>0</v>
      </c>
      <c r="O17" s="829">
        <f>SUMIFS(CR!G:G,CR!B:B, C17)</f>
        <v>0</v>
      </c>
      <c r="P17" s="1065">
        <f t="shared" si="1"/>
        <v>0</v>
      </c>
    </row>
    <row r="18" spans="1:17" ht="15" customHeight="1">
      <c r="A18" s="90">
        <f>IF((P18&gt;0.01),(MAX($A$4:A17)+1),0)</f>
        <v>0</v>
      </c>
      <c r="B18" s="90" t="s">
        <v>0</v>
      </c>
      <c r="C18" s="100"/>
      <c r="D18" s="227" t="s">
        <v>0</v>
      </c>
      <c r="E18" s="279"/>
      <c r="F18" s="1002"/>
      <c r="G18" s="280"/>
      <c r="H18" s="339"/>
      <c r="I18" s="992"/>
      <c r="J18" s="557"/>
      <c r="K18" s="1066">
        <f>IF(DE_SJ[[#This Row],[H S T 
CODE]]="Y",DE_SJ[[#This Row],[FEES]]*0.15,0)</f>
        <v>0</v>
      </c>
      <c r="L18" s="1065">
        <f>DE_SJ[[#This Row],[FEES]]+DE_SJ[[#This Row],[HST]]</f>
        <v>0</v>
      </c>
      <c r="M18" s="974"/>
      <c r="N18" s="1064">
        <f>DE_SJ[[#This Row],[FEES]]*-1</f>
        <v>0</v>
      </c>
      <c r="O18" s="829">
        <f>SUMIFS(CR!G:G,CR!B:B, C18)</f>
        <v>0</v>
      </c>
      <c r="P18" s="1065">
        <f t="shared" si="1"/>
        <v>0</v>
      </c>
    </row>
    <row r="19" spans="1:17" ht="15" customHeight="1">
      <c r="A19" s="90">
        <f>IF((P19&gt;0.01),(MAX($A$4:A18)+1),0)</f>
        <v>0</v>
      </c>
      <c r="B19" s="90"/>
      <c r="C19" s="100"/>
      <c r="D19" s="227" t="s">
        <v>0</v>
      </c>
      <c r="E19" s="279"/>
      <c r="F19" s="1002"/>
      <c r="G19" s="280"/>
      <c r="H19" s="339"/>
      <c r="I19" s="992"/>
      <c r="J19" s="557"/>
      <c r="K19" s="1066">
        <f>IF(DE_SJ[[#This Row],[H S T 
CODE]]="Y",DE_SJ[[#This Row],[FEES]]*0.15,0)</f>
        <v>0</v>
      </c>
      <c r="L19" s="1065">
        <f>DE_SJ[[#This Row],[FEES]]+DE_SJ[[#This Row],[HST]]</f>
        <v>0</v>
      </c>
      <c r="M19" s="974"/>
      <c r="N19" s="1064">
        <f>DE_SJ[[#This Row],[FEES]]*-1</f>
        <v>0</v>
      </c>
      <c r="O19" s="829">
        <f>SUMIFS(CR!G:G,CR!B:B, C19)</f>
        <v>0</v>
      </c>
      <c r="P19" s="1065">
        <f t="shared" si="1"/>
        <v>0</v>
      </c>
    </row>
    <row r="20" spans="1:17" ht="15" customHeight="1">
      <c r="A20" s="90">
        <f>IF((P20&gt;0.01),(MAX($A$4:A19)+1),0)</f>
        <v>0</v>
      </c>
      <c r="B20" s="90"/>
      <c r="C20" s="100"/>
      <c r="D20" s="227" t="s">
        <v>0</v>
      </c>
      <c r="E20" s="279"/>
      <c r="F20" s="1002"/>
      <c r="G20" s="280"/>
      <c r="H20" s="339"/>
      <c r="I20" s="992"/>
      <c r="J20" s="557"/>
      <c r="K20" s="1066">
        <f>IF(DE_SJ[[#This Row],[H S T 
CODE]]="Y",DE_SJ[[#This Row],[FEES]]*0.15,0)</f>
        <v>0</v>
      </c>
      <c r="L20" s="1065">
        <f>DE_SJ[[#This Row],[FEES]]+DE_SJ[[#This Row],[HST]]</f>
        <v>0</v>
      </c>
      <c r="M20" s="974"/>
      <c r="N20" s="1064">
        <f>DE_SJ[[#This Row],[FEES]]*-1</f>
        <v>0</v>
      </c>
      <c r="O20" s="829">
        <f>SUMIFS(CR!G:G,CR!B:B, C20)</f>
        <v>0</v>
      </c>
      <c r="P20" s="1065">
        <f t="shared" si="1"/>
        <v>0</v>
      </c>
    </row>
    <row r="21" spans="1:17" ht="15" customHeight="1">
      <c r="A21" s="90">
        <f>IF((P21&gt;0.01),(MAX($A$4:A20)+1),0)</f>
        <v>0</v>
      </c>
      <c r="B21" s="90"/>
      <c r="C21" s="278"/>
      <c r="D21" s="227"/>
      <c r="F21" s="1002"/>
      <c r="G21" s="275"/>
      <c r="H21" s="276"/>
      <c r="I21" s="990"/>
      <c r="J21" s="557"/>
      <c r="K21" s="1066">
        <f>IF(DE_SJ[[#This Row],[H S T 
CODE]]="Y",DE_SJ[[#This Row],[FEES]]*0.15,0)</f>
        <v>0</v>
      </c>
      <c r="L21" s="1065">
        <f>DE_SJ[[#This Row],[FEES]]+DE_SJ[[#This Row],[HST]]</f>
        <v>0</v>
      </c>
      <c r="M21" s="974"/>
      <c r="N21" s="1064">
        <f>DE_SJ[[#This Row],[FEES]]*-1</f>
        <v>0</v>
      </c>
      <c r="O21" s="829">
        <f>SUMIFS(CR!G:G,CR!B:B, C21)</f>
        <v>0</v>
      </c>
      <c r="P21" s="1065">
        <f t="shared" si="1"/>
        <v>0</v>
      </c>
    </row>
    <row r="22" spans="1:17" ht="15" customHeight="1">
      <c r="A22" s="90">
        <f>IF((P22&gt;0.01),(MAX($A$4:A21)+1),0)</f>
        <v>0</v>
      </c>
      <c r="B22" s="90"/>
      <c r="C22" s="278"/>
      <c r="D22" s="227"/>
      <c r="E22" s="279"/>
      <c r="F22" s="1002"/>
      <c r="G22" s="280"/>
      <c r="H22" s="276"/>
      <c r="I22" s="990"/>
      <c r="J22" s="557"/>
      <c r="K22" s="1066">
        <f>IF(DE_SJ[[#This Row],[H S T 
CODE]]="Y",DE_SJ[[#This Row],[FEES]]*0.15,0)</f>
        <v>0</v>
      </c>
      <c r="L22" s="1065">
        <f>DE_SJ[[#This Row],[FEES]]+DE_SJ[[#This Row],[HST]]</f>
        <v>0</v>
      </c>
      <c r="M22" s="974"/>
      <c r="N22" s="1064">
        <f>DE_SJ[[#This Row],[FEES]]*-1</f>
        <v>0</v>
      </c>
      <c r="O22" s="829">
        <f>SUMIFS(CR!G:G,CR!B:B, C22)</f>
        <v>0</v>
      </c>
      <c r="P22" s="1065">
        <f t="shared" si="1"/>
        <v>0</v>
      </c>
    </row>
    <row r="23" spans="1:17" ht="15" customHeight="1">
      <c r="A23" s="90">
        <f>IF((P23&gt;0.01),(MAX($A$4:A22)+1),0)</f>
        <v>0</v>
      </c>
      <c r="B23" s="90"/>
      <c r="C23" s="278"/>
      <c r="D23" s="227"/>
      <c r="E23" s="279"/>
      <c r="F23" s="1002"/>
      <c r="G23" s="280"/>
      <c r="H23" s="276"/>
      <c r="I23" s="990"/>
      <c r="J23" s="557"/>
      <c r="K23" s="1066">
        <f>IF(DE_SJ[[#This Row],[H S T 
CODE]]="Y",DE_SJ[[#This Row],[FEES]]*0.15,0)</f>
        <v>0</v>
      </c>
      <c r="L23" s="1065">
        <f>DE_SJ[[#This Row],[FEES]]+DE_SJ[[#This Row],[HST]]</f>
        <v>0</v>
      </c>
      <c r="M23" s="974"/>
      <c r="N23" s="1064">
        <f>DE_SJ[[#This Row],[FEES]]*-1</f>
        <v>0</v>
      </c>
      <c r="O23" s="829">
        <f>SUMIFS(CR!G:G,CR!B:B, C23)</f>
        <v>0</v>
      </c>
      <c r="P23" s="1065">
        <f t="shared" si="1"/>
        <v>0</v>
      </c>
    </row>
    <row r="24" spans="1:17" ht="15" customHeight="1">
      <c r="A24" s="90">
        <f>IF((P24&gt;0.01),(MAX($A$4:A23)+1),0)</f>
        <v>0</v>
      </c>
      <c r="B24" s="90"/>
      <c r="C24" s="278"/>
      <c r="D24" s="227"/>
      <c r="F24" s="1002"/>
      <c r="G24" s="280"/>
      <c r="H24" s="276"/>
      <c r="I24" s="990"/>
      <c r="J24" s="557"/>
      <c r="K24" s="1066">
        <f>IF(DE_SJ[[#This Row],[H S T 
CODE]]="Y",DE_SJ[[#This Row],[FEES]]*0.15,0)</f>
        <v>0</v>
      </c>
      <c r="L24" s="1065">
        <f>DE_SJ[[#This Row],[FEES]]+DE_SJ[[#This Row],[HST]]</f>
        <v>0</v>
      </c>
      <c r="M24" s="974"/>
      <c r="N24" s="1064">
        <f>DE_SJ[[#This Row],[FEES]]*-1</f>
        <v>0</v>
      </c>
      <c r="O24" s="829">
        <f>SUMIFS(CR!G:G,CR!B:B, C24)</f>
        <v>0</v>
      </c>
      <c r="P24" s="1065">
        <f t="shared" si="1"/>
        <v>0</v>
      </c>
    </row>
    <row r="25" spans="1:17" ht="15" customHeight="1">
      <c r="A25" s="90">
        <f>IF((P25&gt;0.01),(MAX($A$4:A24)+1),0)</f>
        <v>0</v>
      </c>
      <c r="B25" s="90"/>
      <c r="C25" s="278"/>
      <c r="D25" s="227"/>
      <c r="F25" s="1002"/>
      <c r="G25" s="280"/>
      <c r="H25" s="276"/>
      <c r="I25" s="990"/>
      <c r="J25" s="557"/>
      <c r="K25" s="1066">
        <f>IF(DE_SJ[[#This Row],[H S T 
CODE]]="Y",DE_SJ[[#This Row],[FEES]]*0.15,0)</f>
        <v>0</v>
      </c>
      <c r="L25" s="1065">
        <f>DE_SJ[[#This Row],[FEES]]+DE_SJ[[#This Row],[HST]]</f>
        <v>0</v>
      </c>
      <c r="M25" s="974"/>
      <c r="N25" s="1064">
        <f>DE_SJ[[#This Row],[FEES]]*-1</f>
        <v>0</v>
      </c>
      <c r="O25" s="829">
        <f>SUMIFS(CR!G:G,CR!B:B, C25)</f>
        <v>0</v>
      </c>
      <c r="P25" s="1065">
        <f t="shared" si="1"/>
        <v>0</v>
      </c>
    </row>
    <row r="26" spans="1:17" ht="15" customHeight="1">
      <c r="A26" s="90">
        <f>IF((P26&gt;0.01),(MAX($A$4:A25)+1),0)</f>
        <v>0</v>
      </c>
      <c r="B26" s="90"/>
      <c r="C26" s="278"/>
      <c r="D26" s="227"/>
      <c r="E26" s="279"/>
      <c r="F26" s="1002"/>
      <c r="G26" s="280"/>
      <c r="H26" s="276"/>
      <c r="I26" s="990"/>
      <c r="J26" s="557"/>
      <c r="K26" s="1066">
        <f>IF(DE_SJ[[#This Row],[H S T 
CODE]]="Y",DE_SJ[[#This Row],[FEES]]*0.15,0)</f>
        <v>0</v>
      </c>
      <c r="L26" s="1065">
        <f>DE_SJ[[#This Row],[FEES]]+DE_SJ[[#This Row],[HST]]</f>
        <v>0</v>
      </c>
      <c r="M26" s="974"/>
      <c r="N26" s="1064">
        <f>DE_SJ[[#This Row],[FEES]]*-1</f>
        <v>0</v>
      </c>
      <c r="O26" s="829">
        <f>SUMIFS(CR!G:G,CR!B:B, C26)</f>
        <v>0</v>
      </c>
      <c r="P26" s="1065">
        <f t="shared" si="1"/>
        <v>0</v>
      </c>
    </row>
    <row r="27" spans="1:17" ht="15" customHeight="1">
      <c r="A27" s="90">
        <f>IF((P27&gt;0.01),(MAX($A$4:A26)+1),0)</f>
        <v>0</v>
      </c>
      <c r="B27" s="90"/>
      <c r="C27" s="278"/>
      <c r="D27" s="227"/>
      <c r="E27" s="279"/>
      <c r="F27" s="1002"/>
      <c r="G27" s="280"/>
      <c r="H27" s="276"/>
      <c r="I27" s="990"/>
      <c r="J27" s="557"/>
      <c r="K27" s="1066">
        <f>IF(DE_SJ[[#This Row],[H S T 
CODE]]="Y",DE_SJ[[#This Row],[FEES]]*0.15,0)</f>
        <v>0</v>
      </c>
      <c r="L27" s="1065">
        <f>DE_SJ[[#This Row],[FEES]]+DE_SJ[[#This Row],[HST]]</f>
        <v>0</v>
      </c>
      <c r="M27" s="974"/>
      <c r="N27" s="1064">
        <f>DE_SJ[[#This Row],[FEES]]*-1</f>
        <v>0</v>
      </c>
      <c r="O27" s="829">
        <f>SUMIFS(CR!G:G,CR!B:B, C27)</f>
        <v>0</v>
      </c>
      <c r="P27" s="1065">
        <f t="shared" si="1"/>
        <v>0</v>
      </c>
    </row>
    <row r="28" spans="1:17" ht="15" customHeight="1">
      <c r="A28" s="90">
        <f>IF((P28&gt;0.01),(MAX($A$4:A27)+1),0)</f>
        <v>0</v>
      </c>
      <c r="B28" s="90"/>
      <c r="C28" s="278"/>
      <c r="D28" s="227"/>
      <c r="E28" s="279"/>
      <c r="F28" s="1002"/>
      <c r="G28" s="280"/>
      <c r="H28" s="276"/>
      <c r="I28" s="990"/>
      <c r="J28" s="557"/>
      <c r="K28" s="1066">
        <f>IF(DE_SJ[[#This Row],[H S T 
CODE]]="Y",DE_SJ[[#This Row],[FEES]]*0.15,0)</f>
        <v>0</v>
      </c>
      <c r="L28" s="1065">
        <f>DE_SJ[[#This Row],[FEES]]+DE_SJ[[#This Row],[HST]]</f>
        <v>0</v>
      </c>
      <c r="M28" s="974"/>
      <c r="N28" s="1064">
        <f>DE_SJ[[#This Row],[FEES]]*-1</f>
        <v>0</v>
      </c>
      <c r="O28" s="829">
        <f>SUMIFS(CR!G:G,CR!B:B, C28)</f>
        <v>0</v>
      </c>
      <c r="P28" s="1065">
        <f t="shared" si="1"/>
        <v>0</v>
      </c>
      <c r="Q28" s="227"/>
    </row>
    <row r="29" spans="1:17" ht="15" customHeight="1">
      <c r="A29" s="90">
        <f>IF((P29&gt;0.01),(MAX($A$4:A28)+1),0)</f>
        <v>0</v>
      </c>
      <c r="B29" s="90"/>
      <c r="C29" s="278"/>
      <c r="D29" s="227"/>
      <c r="E29" s="279"/>
      <c r="F29" s="1002"/>
      <c r="G29" s="280"/>
      <c r="H29" s="276"/>
      <c r="I29" s="990"/>
      <c r="J29" s="557"/>
      <c r="K29" s="1066">
        <f>IF(DE_SJ[[#This Row],[H S T 
CODE]]="Y",DE_SJ[[#This Row],[FEES]]*0.15,0)</f>
        <v>0</v>
      </c>
      <c r="L29" s="1065">
        <f>DE_SJ[[#This Row],[FEES]]+DE_SJ[[#This Row],[HST]]</f>
        <v>0</v>
      </c>
      <c r="M29" s="974"/>
      <c r="N29" s="1064">
        <f>DE_SJ[[#This Row],[FEES]]*-1</f>
        <v>0</v>
      </c>
      <c r="O29" s="829">
        <f>SUMIFS(CR!G:G,CR!B:B, C29)</f>
        <v>0</v>
      </c>
      <c r="P29" s="1065">
        <f t="shared" si="1"/>
        <v>0</v>
      </c>
      <c r="Q29" s="227"/>
    </row>
    <row r="30" spans="1:17" ht="15" customHeight="1">
      <c r="A30" s="90">
        <f>IF((P30&gt;0.01),(MAX($A$4:A29)+1),0)</f>
        <v>0</v>
      </c>
      <c r="B30" s="90"/>
      <c r="C30" s="278"/>
      <c r="D30" s="227"/>
      <c r="E30" s="279"/>
      <c r="F30" s="1002"/>
      <c r="G30" s="280"/>
      <c r="H30" s="276"/>
      <c r="I30" s="990"/>
      <c r="J30" s="557"/>
      <c r="K30" s="1066">
        <f>IF(DE_SJ[[#This Row],[H S T 
CODE]]="Y",DE_SJ[[#This Row],[FEES]]*0.15,0)</f>
        <v>0</v>
      </c>
      <c r="L30" s="1065">
        <f>DE_SJ[[#This Row],[FEES]]+DE_SJ[[#This Row],[HST]]</f>
        <v>0</v>
      </c>
      <c r="M30" s="974"/>
      <c r="N30" s="1064">
        <f>DE_SJ[[#This Row],[FEES]]*-1</f>
        <v>0</v>
      </c>
      <c r="O30" s="829">
        <f>SUMIFS(CR!G:G,CR!B:B, C30)</f>
        <v>0</v>
      </c>
      <c r="P30" s="1065">
        <f t="shared" si="1"/>
        <v>0</v>
      </c>
      <c r="Q30" s="227"/>
    </row>
    <row r="31" spans="1:17" ht="15" customHeight="1">
      <c r="A31" s="90">
        <f>IF((P31&gt;0.01),(MAX($A$4:A30)+1),0)</f>
        <v>0</v>
      </c>
      <c r="B31" s="90"/>
      <c r="C31" s="278"/>
      <c r="D31" s="227"/>
      <c r="E31" s="279"/>
      <c r="F31" s="1002"/>
      <c r="G31" s="280"/>
      <c r="H31" s="276"/>
      <c r="I31" s="990"/>
      <c r="J31" s="557"/>
      <c r="K31" s="1066">
        <f>IF(DE_SJ[[#This Row],[H S T 
CODE]]="Y",DE_SJ[[#This Row],[FEES]]*0.15,0)</f>
        <v>0</v>
      </c>
      <c r="L31" s="1065">
        <f>DE_SJ[[#This Row],[FEES]]+DE_SJ[[#This Row],[HST]]</f>
        <v>0</v>
      </c>
      <c r="M31" s="974"/>
      <c r="N31" s="1064">
        <f>DE_SJ[[#This Row],[FEES]]*-1</f>
        <v>0</v>
      </c>
      <c r="O31" s="829">
        <f>SUMIFS(CR!G:G,CR!B:B, C31)</f>
        <v>0</v>
      </c>
      <c r="P31" s="1065">
        <f t="shared" si="1"/>
        <v>0</v>
      </c>
      <c r="Q31" s="227"/>
    </row>
    <row r="32" spans="1:17" ht="15" customHeight="1">
      <c r="A32" s="90">
        <f>IF((P32&gt;0.01),(MAX($A$4:A31)+1),0)</f>
        <v>0</v>
      </c>
      <c r="B32" s="90"/>
      <c r="C32" s="278"/>
      <c r="D32" s="227"/>
      <c r="E32" s="279"/>
      <c r="F32" s="1002"/>
      <c r="G32" s="275"/>
      <c r="H32" s="276"/>
      <c r="I32" s="990"/>
      <c r="J32" s="787"/>
      <c r="K32" s="1066">
        <f>IF(DE_SJ[[#This Row],[H S T 
CODE]]="Y",DE_SJ[[#This Row],[FEES]]*0.15,0)</f>
        <v>0</v>
      </c>
      <c r="L32" s="1065">
        <f>DE_SJ[[#This Row],[FEES]]+DE_SJ[[#This Row],[HST]]</f>
        <v>0</v>
      </c>
      <c r="M32" s="974"/>
      <c r="N32" s="1064">
        <f>DE_SJ[[#This Row],[FEES]]*-1</f>
        <v>0</v>
      </c>
      <c r="O32" s="829">
        <f>SUMIFS(CR!G:G,CR!B:B, C32)</f>
        <v>0</v>
      </c>
      <c r="P32" s="1065">
        <f t="shared" si="1"/>
        <v>0</v>
      </c>
    </row>
    <row r="33" spans="1:17" ht="15" customHeight="1">
      <c r="A33" s="90">
        <f>IF((P33&gt;0.01),(MAX($A$4:A32)+1),0)</f>
        <v>0</v>
      </c>
      <c r="B33" s="90"/>
      <c r="C33" s="278"/>
      <c r="D33" s="227"/>
      <c r="E33" s="279"/>
      <c r="F33" s="1002"/>
      <c r="G33" s="275"/>
      <c r="H33" s="276"/>
      <c r="I33" s="990"/>
      <c r="J33" s="557"/>
      <c r="K33" s="1066">
        <f>IF(DE_SJ[[#This Row],[H S T 
CODE]]="Y",DE_SJ[[#This Row],[FEES]]*0.15,0)</f>
        <v>0</v>
      </c>
      <c r="L33" s="1065">
        <f>DE_SJ[[#This Row],[FEES]]+DE_SJ[[#This Row],[HST]]</f>
        <v>0</v>
      </c>
      <c r="M33" s="974"/>
      <c r="N33" s="1064">
        <f>DE_SJ[[#This Row],[FEES]]*-1</f>
        <v>0</v>
      </c>
      <c r="O33" s="829">
        <f>SUMIFS(CR!G:G,CR!B:B, C33)</f>
        <v>0</v>
      </c>
      <c r="P33" s="1065">
        <f t="shared" si="1"/>
        <v>0</v>
      </c>
      <c r="Q33" s="227"/>
    </row>
    <row r="34" spans="1:17" ht="15" customHeight="1">
      <c r="A34" s="90">
        <f>IF((P34&gt;0.01),(MAX($A$4:A33)+1),0)</f>
        <v>0</v>
      </c>
      <c r="B34" s="90"/>
      <c r="C34" s="278"/>
      <c r="D34" s="227"/>
      <c r="E34" s="279"/>
      <c r="F34" s="1002"/>
      <c r="G34" s="275"/>
      <c r="H34" s="276"/>
      <c r="I34" s="990"/>
      <c r="J34" s="557"/>
      <c r="K34" s="1066">
        <f>IF(DE_SJ[[#This Row],[H S T 
CODE]]="Y",DE_SJ[[#This Row],[FEES]]*0.15,0)</f>
        <v>0</v>
      </c>
      <c r="L34" s="1065">
        <f>DE_SJ[[#This Row],[FEES]]+DE_SJ[[#This Row],[HST]]</f>
        <v>0</v>
      </c>
      <c r="M34" s="974"/>
      <c r="N34" s="1064">
        <f>DE_SJ[[#This Row],[FEES]]*-1</f>
        <v>0</v>
      </c>
      <c r="O34" s="829">
        <f>SUMIFS(CR!G:G,CR!B:B, C34)</f>
        <v>0</v>
      </c>
      <c r="P34" s="1065">
        <f t="shared" si="1"/>
        <v>0</v>
      </c>
      <c r="Q34" s="227"/>
    </row>
    <row r="35" spans="1:17" ht="15" customHeight="1">
      <c r="A35" s="90">
        <f>IF((P35&gt;0.01),(MAX($A$5:A34)+1),0)</f>
        <v>0</v>
      </c>
      <c r="B35" s="90"/>
      <c r="C35" s="976" t="s">
        <v>1634</v>
      </c>
      <c r="D35" s="977"/>
      <c r="E35" s="978"/>
      <c r="F35" s="883"/>
      <c r="G35" s="979"/>
      <c r="H35" s="980"/>
      <c r="I35" s="993"/>
      <c r="J35" s="981"/>
      <c r="K35" s="982">
        <f>DE_SJ[[#This Row],[FEES]]*0.15</f>
        <v>0</v>
      </c>
      <c r="L35" s="983">
        <f>DE_SJ[[#This Row],[FEES]]+DE_SJ[[#This Row],[HST]]</f>
        <v>0</v>
      </c>
      <c r="M35" s="984"/>
      <c r="N35" s="985">
        <f>DE_SJ[[#This Row],[FEES]]*-1</f>
        <v>0</v>
      </c>
      <c r="O35" s="986">
        <f>SUMIFS(CR!H:H,CR!C:C, C35)</f>
        <v>0</v>
      </c>
      <c r="P35" s="983">
        <f t="shared" si="1"/>
        <v>0</v>
      </c>
      <c r="Q35" s="977"/>
    </row>
  </sheetData>
  <dataConsolidate link="1"/>
  <hyperlinks>
    <hyperlink ref="A1" location="'TABLE OF CONTENTS'!A1" display="INDEX" xr:uid="{EFB04E16-EB5D-43EC-9333-BF46AF9DA585}"/>
  </hyperlink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3">
        <x14:dataValidation type="list" allowBlank="1" showInputMessage="1" showErrorMessage="1" xr:uid="{AEF61444-7D91-4ED8-834E-B58C6081E22C}">
          <x14:formula1>
            <xm:f>CUSTOMERS!$B$4:$B$18</xm:f>
          </x14:formula1>
          <xm:sqref>E1:E4 E36:E1048576</xm:sqref>
        </x14:dataValidation>
        <x14:dataValidation type="list" allowBlank="1" showInputMessage="1" showErrorMessage="1" xr:uid="{8CE3B1AC-FE8E-46F5-9945-B89A6AFF05FF}">
          <x14:formula1>
            <xm:f>COA!$D$14:$D$159</xm:f>
          </x14:formula1>
          <xm:sqref>M6:M35</xm:sqref>
        </x14:dataValidation>
        <x14:dataValidation type="list" allowBlank="1" showInputMessage="1" showErrorMessage="1" xr:uid="{DA5E44EB-4785-42AD-9C4C-8CD01CDFEF96}">
          <x14:formula1>
            <xm:f>CUSTOMERS!$D$3:$D$16</xm:f>
          </x14:formula1>
          <xm:sqref>E8:E34</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7">
    <tabColor theme="4"/>
    <outlinePr summaryBelow="0" summaryRight="0"/>
  </sheetPr>
  <dimension ref="A1:AX111"/>
  <sheetViews>
    <sheetView workbookViewId="0">
      <selection activeCell="G7" sqref="G7"/>
    </sheetView>
  </sheetViews>
  <sheetFormatPr defaultColWidth="12.5703125" defaultRowHeight="15.75" customHeight="1"/>
  <cols>
    <col min="1" max="1" width="6.5703125" customWidth="1"/>
    <col min="2" max="2" width="17.85546875" customWidth="1"/>
    <col min="3" max="3" width="9.7109375" style="37" customWidth="1"/>
    <col min="4" max="4" width="8.7109375" customWidth="1"/>
    <col min="5" max="5" width="68.42578125" customWidth="1"/>
    <col min="6" max="6" width="39.28515625" customWidth="1"/>
    <col min="7" max="7" width="18.42578125" style="22" customWidth="1"/>
  </cols>
  <sheetData>
    <row r="1" spans="1:50" ht="15.75" customHeight="1">
      <c r="A1" s="59" t="s">
        <v>1650</v>
      </c>
      <c r="C1" s="63" t="s">
        <v>163</v>
      </c>
      <c r="G1"/>
      <c r="AX1" s="776">
        <f>COUNT(G:G,"&lt;&gt;0")</f>
        <v>14</v>
      </c>
    </row>
    <row r="2" spans="1:50">
      <c r="A2" s="3"/>
      <c r="B2" s="1297" t="str">
        <f>COA!$B$2</f>
        <v>ANONYMOUS COMPANY</v>
      </c>
      <c r="C2" s="1295"/>
      <c r="D2" s="1295"/>
      <c r="E2" s="1295"/>
      <c r="F2" s="1295"/>
      <c r="G2" s="1295"/>
    </row>
    <row r="3" spans="1:50" ht="15.75" customHeight="1">
      <c r="A3" s="3"/>
      <c r="B3" s="1331">
        <f>COA!B4</f>
        <v>46022</v>
      </c>
      <c r="C3" s="1295"/>
      <c r="D3" s="1295"/>
      <c r="E3" s="1295"/>
      <c r="F3" s="1295"/>
      <c r="G3" s="1295"/>
    </row>
    <row r="4" spans="1:50" ht="15.75" customHeight="1">
      <c r="A4" s="3"/>
      <c r="B4" s="1298" t="s">
        <v>163</v>
      </c>
      <c r="C4" s="1295"/>
      <c r="D4" s="1295"/>
      <c r="E4" s="1295"/>
      <c r="F4" s="1295"/>
      <c r="G4" s="1295"/>
    </row>
    <row r="5" spans="1:50" ht="15.75" customHeight="1">
      <c r="A5" s="3"/>
      <c r="B5" s="3" t="s">
        <v>0</v>
      </c>
      <c r="C5" s="91" t="s">
        <v>0</v>
      </c>
      <c r="D5" s="4"/>
      <c r="E5" s="4"/>
      <c r="F5" s="116" t="s">
        <v>0</v>
      </c>
      <c r="G5" s="116" t="s">
        <v>0</v>
      </c>
    </row>
    <row r="6" spans="1:50" ht="15.75" customHeight="1">
      <c r="A6" s="88" t="s">
        <v>0</v>
      </c>
      <c r="B6" s="119"/>
      <c r="C6" s="130"/>
      <c r="D6" s="89"/>
      <c r="E6" s="89"/>
      <c r="F6" s="126"/>
      <c r="G6" s="126"/>
    </row>
    <row r="7" spans="1:50" ht="12.75">
      <c r="A7" s="3"/>
      <c r="B7" s="3"/>
      <c r="C7" s="3"/>
      <c r="D7" s="3"/>
      <c r="E7" s="3"/>
      <c r="F7" s="1002" t="s">
        <v>25</v>
      </c>
      <c r="G7" s="1060">
        <f>SUM(G10:G99)</f>
        <v>-1.8189894035458565E-12</v>
      </c>
    </row>
    <row r="8" spans="1:50" ht="12.75">
      <c r="A8" s="3"/>
    </row>
    <row r="9" spans="1:50" ht="15.75" customHeight="1">
      <c r="A9" s="3"/>
      <c r="B9" s="99" t="s">
        <v>7</v>
      </c>
      <c r="C9" s="136" t="s">
        <v>8</v>
      </c>
      <c r="D9" s="87" t="s">
        <v>6</v>
      </c>
      <c r="E9" s="136" t="s">
        <v>9</v>
      </c>
      <c r="F9" s="136" t="s">
        <v>10</v>
      </c>
      <c r="G9" s="137" t="s">
        <v>13</v>
      </c>
      <c r="H9" s="45" t="s">
        <v>40</v>
      </c>
    </row>
    <row r="10" spans="1:50" ht="15.75" hidden="1" customHeight="1">
      <c r="A10" s="3"/>
      <c r="B10" s="99"/>
      <c r="C10" s="99"/>
      <c r="D10" s="87"/>
      <c r="E10" s="99"/>
      <c r="F10" s="99"/>
      <c r="G10" s="839"/>
      <c r="H10" s="45"/>
    </row>
    <row r="11" spans="1:50" ht="15.75" customHeight="1">
      <c r="A11" s="3"/>
      <c r="B11" s="91">
        <v>45904</v>
      </c>
      <c r="C11" s="100">
        <v>1</v>
      </c>
      <c r="D11" s="91" t="s">
        <v>1468</v>
      </c>
      <c r="E11" s="100" t="s">
        <v>1469</v>
      </c>
      <c r="F11" s="92" t="s">
        <v>81</v>
      </c>
      <c r="G11" s="52">
        <v>18415</v>
      </c>
    </row>
    <row r="12" spans="1:50" ht="15.75" customHeight="1">
      <c r="A12" s="3"/>
      <c r="B12" s="91">
        <v>45904</v>
      </c>
      <c r="C12" s="100">
        <v>1</v>
      </c>
      <c r="D12" s="91" t="s">
        <v>1468</v>
      </c>
      <c r="E12" s="100" t="s">
        <v>1469</v>
      </c>
      <c r="F12" s="92" t="s">
        <v>1470</v>
      </c>
      <c r="G12" s="343">
        <v>-12350</v>
      </c>
    </row>
    <row r="13" spans="1:50" ht="15.75" customHeight="1">
      <c r="A13" s="3"/>
      <c r="B13" s="91">
        <v>45904</v>
      </c>
      <c r="C13" s="100">
        <v>1</v>
      </c>
      <c r="D13" s="91" t="s">
        <v>1468</v>
      </c>
      <c r="E13" s="100" t="s">
        <v>1469</v>
      </c>
      <c r="F13" s="92" t="s">
        <v>1552</v>
      </c>
      <c r="G13" s="52">
        <v>-6065</v>
      </c>
    </row>
    <row r="14" spans="1:50" ht="15.75" customHeight="1">
      <c r="A14" s="3"/>
      <c r="B14" s="91">
        <v>45904</v>
      </c>
      <c r="C14" s="100">
        <v>1</v>
      </c>
      <c r="D14" s="91" t="s">
        <v>1468</v>
      </c>
      <c r="E14" s="100" t="s">
        <v>1469</v>
      </c>
      <c r="F14" s="92" t="s">
        <v>81</v>
      </c>
      <c r="G14" s="52">
        <v>200</v>
      </c>
    </row>
    <row r="15" spans="1:50" ht="15.75" customHeight="1">
      <c r="A15" s="3"/>
      <c r="B15" s="91">
        <v>45904</v>
      </c>
      <c r="C15" s="100">
        <v>1</v>
      </c>
      <c r="D15" s="91" t="s">
        <v>1468</v>
      </c>
      <c r="E15" s="100" t="s">
        <v>1469</v>
      </c>
      <c r="F15" s="92" t="s">
        <v>1552</v>
      </c>
      <c r="G15" s="52">
        <v>-200</v>
      </c>
    </row>
    <row r="16" spans="1:50" ht="15.75" customHeight="1">
      <c r="A16" s="3"/>
      <c r="B16" s="91"/>
      <c r="C16" s="100"/>
      <c r="D16" s="91"/>
      <c r="E16" s="100"/>
      <c r="F16" s="92"/>
      <c r="G16" s="52"/>
    </row>
    <row r="17" spans="1:7" ht="15.75" customHeight="1">
      <c r="A17" s="3"/>
      <c r="B17" s="1243">
        <v>45953</v>
      </c>
      <c r="C17" s="709">
        <v>2</v>
      </c>
      <c r="D17" s="1244" t="s">
        <v>1468</v>
      </c>
      <c r="E17" s="709" t="s">
        <v>1652</v>
      </c>
      <c r="F17" s="92" t="s">
        <v>1654</v>
      </c>
      <c r="G17" s="1245">
        <v>-25000</v>
      </c>
    </row>
    <row r="18" spans="1:7" ht="15.75" customHeight="1">
      <c r="A18" s="3"/>
      <c r="B18" s="1246">
        <v>45953</v>
      </c>
      <c r="C18" s="1247">
        <v>2</v>
      </c>
      <c r="D18" s="1248" t="s">
        <v>1468</v>
      </c>
      <c r="E18" s="1247" t="s">
        <v>1653</v>
      </c>
      <c r="F18" s="92" t="s">
        <v>88</v>
      </c>
      <c r="G18" s="1249">
        <v>-3750</v>
      </c>
    </row>
    <row r="19" spans="1:7" ht="15.75" customHeight="1">
      <c r="A19" s="3"/>
      <c r="B19" s="1246">
        <v>45953</v>
      </c>
      <c r="C19" s="1247">
        <v>2</v>
      </c>
      <c r="D19" s="1248" t="s">
        <v>1468</v>
      </c>
      <c r="E19" s="100" t="s">
        <v>1655</v>
      </c>
      <c r="F19" s="92" t="s">
        <v>718</v>
      </c>
      <c r="G19" s="52">
        <v>28750</v>
      </c>
    </row>
    <row r="20" spans="1:7" ht="15.75" customHeight="1">
      <c r="A20" s="3"/>
      <c r="B20" s="1243">
        <v>45953</v>
      </c>
      <c r="C20" s="709">
        <v>2</v>
      </c>
      <c r="D20" s="1244" t="s">
        <v>1468</v>
      </c>
      <c r="E20" s="709" t="s">
        <v>1658</v>
      </c>
      <c r="F20" s="92" t="s">
        <v>1654</v>
      </c>
      <c r="G20" s="1245">
        <v>17674.259999999998</v>
      </c>
    </row>
    <row r="21" spans="1:7" ht="15.75" customHeight="1">
      <c r="A21" s="3"/>
      <c r="B21" s="1243">
        <v>45953</v>
      </c>
      <c r="C21" s="709">
        <v>2</v>
      </c>
      <c r="D21" s="1244" t="s">
        <v>1468</v>
      </c>
      <c r="E21" s="709" t="s">
        <v>1656</v>
      </c>
      <c r="F21" s="92" t="s">
        <v>1277</v>
      </c>
      <c r="G21" s="52">
        <v>-29704.95</v>
      </c>
    </row>
    <row r="22" spans="1:7" ht="15.75" customHeight="1">
      <c r="B22" s="1243">
        <v>45953</v>
      </c>
      <c r="C22" s="709">
        <v>2</v>
      </c>
      <c r="D22" s="1244" t="s">
        <v>1468</v>
      </c>
      <c r="E22" s="709" t="s">
        <v>1657</v>
      </c>
      <c r="F22" s="92" t="s">
        <v>1414</v>
      </c>
      <c r="G22" s="52">
        <v>12030.69</v>
      </c>
    </row>
    <row r="23" spans="1:7" ht="15.75" customHeight="1">
      <c r="B23" s="91"/>
      <c r="C23" s="100"/>
      <c r="D23" s="91"/>
      <c r="E23" s="100"/>
      <c r="F23" s="391"/>
      <c r="G23" s="52"/>
    </row>
    <row r="24" spans="1:7" ht="15.75" customHeight="1">
      <c r="B24" s="1243">
        <v>45953</v>
      </c>
      <c r="C24" s="709">
        <v>3</v>
      </c>
      <c r="D24" s="1244" t="s">
        <v>1468</v>
      </c>
      <c r="E24" s="100" t="s">
        <v>1660</v>
      </c>
      <c r="F24" s="92" t="s">
        <v>1414</v>
      </c>
      <c r="G24" s="52">
        <v>-1490.3219999999999</v>
      </c>
    </row>
    <row r="25" spans="1:7" ht="15.75" customHeight="1">
      <c r="B25" s="1243">
        <v>45953</v>
      </c>
      <c r="C25" s="709">
        <v>3</v>
      </c>
      <c r="D25" s="1244" t="s">
        <v>1468</v>
      </c>
      <c r="E25" s="100" t="s">
        <v>1660</v>
      </c>
      <c r="F25" s="92" t="s">
        <v>284</v>
      </c>
      <c r="G25" s="52">
        <v>1490.3219999999999</v>
      </c>
    </row>
    <row r="26" spans="1:7" ht="15.75" customHeight="1">
      <c r="B26" s="91"/>
      <c r="C26" s="100"/>
      <c r="D26" s="91"/>
      <c r="E26" s="100"/>
      <c r="F26" s="391"/>
      <c r="G26" s="52"/>
    </row>
    <row r="27" spans="1:7" ht="15.75" customHeight="1">
      <c r="B27" s="91"/>
      <c r="C27" s="100"/>
      <c r="D27" s="91"/>
      <c r="E27" s="100"/>
      <c r="F27" s="92"/>
      <c r="G27" s="52"/>
    </row>
    <row r="28" spans="1:7" ht="15.75" customHeight="1">
      <c r="B28" s="91"/>
      <c r="C28" s="100"/>
      <c r="D28" s="91"/>
      <c r="E28" s="100"/>
      <c r="F28" s="92"/>
      <c r="G28" s="52"/>
    </row>
    <row r="29" spans="1:7" ht="15.75" customHeight="1">
      <c r="B29" s="91"/>
      <c r="C29" s="100"/>
      <c r="D29" s="91"/>
      <c r="E29" s="100"/>
      <c r="F29" s="92"/>
      <c r="G29" s="52"/>
    </row>
    <row r="30" spans="1:7" ht="15.75" customHeight="1">
      <c r="B30" s="91"/>
      <c r="C30" s="100"/>
      <c r="D30" s="91"/>
      <c r="E30" s="100"/>
      <c r="F30" s="92"/>
      <c r="G30" s="52"/>
    </row>
    <row r="31" spans="1:7" ht="15.75" customHeight="1">
      <c r="B31" s="91"/>
      <c r="C31" s="100"/>
      <c r="D31" s="91"/>
      <c r="E31" s="100"/>
      <c r="F31" s="92"/>
      <c r="G31" s="52"/>
    </row>
    <row r="32" spans="1:7" ht="15.75" customHeight="1">
      <c r="B32" s="91"/>
      <c r="C32" s="100"/>
      <c r="D32" s="91"/>
      <c r="E32" s="93"/>
      <c r="F32" s="92"/>
      <c r="G32" s="52"/>
    </row>
    <row r="33" spans="2:7" ht="15.75" customHeight="1">
      <c r="B33" s="91"/>
      <c r="C33" s="100"/>
      <c r="D33" s="91"/>
      <c r="E33" s="93"/>
      <c r="F33" s="92"/>
      <c r="G33" s="52"/>
    </row>
    <row r="34" spans="2:7" ht="15.75" customHeight="1">
      <c r="B34" s="91"/>
      <c r="C34" s="100"/>
      <c r="D34" s="91"/>
      <c r="E34" s="93"/>
      <c r="F34" s="92"/>
      <c r="G34" s="52"/>
    </row>
    <row r="35" spans="2:7" ht="15.75" customHeight="1">
      <c r="B35" s="91"/>
      <c r="C35" s="100"/>
      <c r="D35" s="91"/>
      <c r="E35" s="93"/>
      <c r="F35" s="92"/>
      <c r="G35" s="52"/>
    </row>
    <row r="36" spans="2:7" ht="15.75" customHeight="1">
      <c r="B36" s="91"/>
      <c r="C36" s="100"/>
      <c r="D36" s="91"/>
      <c r="E36" s="93"/>
      <c r="F36" s="92"/>
      <c r="G36" s="52"/>
    </row>
    <row r="37" spans="2:7" ht="12.75">
      <c r="B37" s="91"/>
      <c r="C37" s="100"/>
      <c r="D37" s="91"/>
      <c r="E37" s="93"/>
      <c r="F37" s="92"/>
      <c r="G37" s="52"/>
    </row>
    <row r="38" spans="2:7" ht="12.75">
      <c r="B38" s="273"/>
      <c r="C38" s="131"/>
      <c r="D38" s="91"/>
      <c r="E38" s="274"/>
      <c r="F38" s="342"/>
      <c r="G38" s="52"/>
    </row>
    <row r="39" spans="2:7" ht="12.75">
      <c r="B39" s="91"/>
      <c r="C39" s="100"/>
      <c r="D39" s="91"/>
      <c r="E39" s="274"/>
      <c r="F39" s="92"/>
      <c r="G39" s="424"/>
    </row>
    <row r="40" spans="2:7" ht="12.75">
      <c r="B40" s="91"/>
      <c r="C40" s="100"/>
      <c r="D40" s="91"/>
      <c r="E40" s="274"/>
      <c r="F40" s="92"/>
      <c r="G40" s="52"/>
    </row>
    <row r="41" spans="2:7" ht="12.75">
      <c r="B41" s="273"/>
      <c r="C41" s="131"/>
      <c r="D41" s="91"/>
      <c r="E41" s="274"/>
      <c r="F41" s="92"/>
      <c r="G41" s="52"/>
    </row>
    <row r="42" spans="2:7" ht="12.75">
      <c r="B42" s="91"/>
      <c r="C42" s="100"/>
      <c r="D42" s="91"/>
      <c r="E42" s="274"/>
      <c r="F42" s="92"/>
      <c r="G42" s="52"/>
    </row>
    <row r="43" spans="2:7" ht="15.75" customHeight="1">
      <c r="B43" s="91"/>
      <c r="C43" s="100"/>
      <c r="D43" s="91"/>
      <c r="E43" s="274"/>
      <c r="F43" s="92"/>
      <c r="G43" s="52"/>
    </row>
    <row r="44" spans="2:7" ht="15.75" customHeight="1">
      <c r="B44" s="273"/>
      <c r="C44" s="131"/>
      <c r="D44" s="91"/>
      <c r="E44" s="274"/>
      <c r="F44" s="92"/>
      <c r="G44" s="52"/>
    </row>
    <row r="45" spans="2:7" ht="15.75" customHeight="1">
      <c r="B45" s="273"/>
      <c r="C45" s="100"/>
      <c r="D45" s="91"/>
      <c r="E45" s="274"/>
      <c r="F45" s="92"/>
      <c r="G45" s="425"/>
    </row>
    <row r="46" spans="2:7" ht="15.75" customHeight="1">
      <c r="B46" s="273"/>
      <c r="C46" s="100"/>
      <c r="D46" s="91"/>
      <c r="E46" s="274"/>
      <c r="F46" s="92"/>
      <c r="G46" s="425"/>
    </row>
    <row r="47" spans="2:7" ht="15.75" customHeight="1">
      <c r="B47" s="273"/>
      <c r="C47" s="100"/>
      <c r="D47" s="91"/>
      <c r="E47" s="274"/>
      <c r="F47" s="274"/>
      <c r="G47" s="52"/>
    </row>
    <row r="48" spans="2:7" ht="15.75" customHeight="1">
      <c r="B48" s="273"/>
      <c r="C48" s="100"/>
      <c r="D48" s="91"/>
      <c r="E48" s="274"/>
      <c r="F48" s="274"/>
      <c r="G48" s="52"/>
    </row>
    <row r="49" spans="2:9" ht="15.75" customHeight="1">
      <c r="B49" s="273"/>
      <c r="C49" s="131"/>
      <c r="D49" s="91"/>
      <c r="E49" s="274"/>
      <c r="F49" s="92"/>
      <c r="G49" s="52"/>
      <c r="I49" s="427"/>
    </row>
    <row r="50" spans="2:9" ht="15.75" customHeight="1">
      <c r="B50" s="273"/>
      <c r="C50" s="100"/>
      <c r="D50" s="91"/>
      <c r="E50" s="274"/>
      <c r="F50" s="92"/>
      <c r="G50" s="52"/>
      <c r="I50" s="223"/>
    </row>
    <row r="51" spans="2:9" ht="15.75" customHeight="1">
      <c r="B51" s="273"/>
      <c r="C51" s="100"/>
      <c r="D51" s="91"/>
      <c r="E51" s="274"/>
      <c r="F51" s="92"/>
      <c r="G51" s="52"/>
      <c r="I51" s="223"/>
    </row>
    <row r="52" spans="2:9" ht="15.75" customHeight="1">
      <c r="B52" s="273"/>
      <c r="C52" s="100"/>
      <c r="D52" s="91"/>
      <c r="E52" s="274"/>
      <c r="F52" s="92"/>
      <c r="G52" s="52"/>
      <c r="I52" s="223"/>
    </row>
    <row r="53" spans="2:9" ht="15.75" customHeight="1">
      <c r="B53" s="273"/>
      <c r="C53" s="100"/>
      <c r="D53" s="91"/>
      <c r="E53" s="274"/>
      <c r="F53" s="92"/>
      <c r="G53" s="52"/>
    </row>
    <row r="54" spans="2:9" ht="15.75" customHeight="1">
      <c r="B54" s="273"/>
      <c r="C54" s="100"/>
      <c r="D54" s="91"/>
      <c r="E54" s="274"/>
      <c r="F54" s="92"/>
      <c r="G54" s="52"/>
    </row>
    <row r="55" spans="2:9" ht="15.75" customHeight="1">
      <c r="B55" s="273"/>
      <c r="C55" s="100"/>
      <c r="D55" s="91"/>
      <c r="E55" s="274"/>
      <c r="F55" s="92"/>
      <c r="G55" s="52"/>
    </row>
    <row r="56" spans="2:9" ht="15.75" customHeight="1">
      <c r="B56" s="273"/>
      <c r="C56" s="100"/>
      <c r="D56" s="91"/>
      <c r="E56" s="274"/>
      <c r="F56" s="92"/>
      <c r="G56" s="52"/>
    </row>
    <row r="57" spans="2:9" ht="15.75" customHeight="1">
      <c r="B57" s="273"/>
      <c r="C57" s="100"/>
      <c r="D57" s="91"/>
      <c r="E57" s="274"/>
      <c r="F57" s="92"/>
      <c r="G57" s="52"/>
      <c r="I57" s="426"/>
    </row>
    <row r="58" spans="2:9" ht="15.75" customHeight="1">
      <c r="B58" s="273"/>
      <c r="C58" s="100"/>
      <c r="D58" s="91"/>
      <c r="E58" s="274"/>
      <c r="F58" s="92"/>
      <c r="G58" s="52"/>
    </row>
    <row r="59" spans="2:9" ht="15.75" customHeight="1">
      <c r="B59" s="273"/>
      <c r="C59" s="100"/>
      <c r="D59" s="91"/>
      <c r="E59" s="274"/>
      <c r="F59" s="92"/>
      <c r="G59" s="52"/>
    </row>
    <row r="60" spans="2:9" ht="15.75" customHeight="1">
      <c r="B60" s="273"/>
      <c r="C60" s="131"/>
      <c r="D60" s="91"/>
      <c r="E60" s="274"/>
      <c r="F60" s="92"/>
      <c r="G60" s="52"/>
    </row>
    <row r="61" spans="2:9" ht="15.75" customHeight="1">
      <c r="B61" s="421"/>
      <c r="C61" s="429"/>
      <c r="D61" s="419"/>
      <c r="E61" s="428"/>
      <c r="F61" s="420"/>
      <c r="G61" s="430"/>
      <c r="H61" s="422"/>
    </row>
    <row r="62" spans="2:9" ht="15.75" customHeight="1">
      <c r="B62" s="421"/>
      <c r="C62" s="429"/>
      <c r="D62" s="419"/>
      <c r="E62" s="428"/>
      <c r="F62" s="420"/>
      <c r="G62" s="430"/>
      <c r="H62" s="422"/>
    </row>
    <row r="63" spans="2:9" ht="15.75" customHeight="1">
      <c r="B63" s="421"/>
      <c r="C63" s="429"/>
      <c r="D63" s="419"/>
      <c r="E63" s="428"/>
      <c r="F63" s="420"/>
      <c r="G63" s="430"/>
      <c r="H63" s="422"/>
    </row>
    <row r="64" spans="2:9" ht="15.75" customHeight="1">
      <c r="B64" s="421"/>
      <c r="C64" s="429"/>
      <c r="D64" s="419"/>
      <c r="E64" s="428"/>
      <c r="F64" s="420"/>
      <c r="G64" s="430"/>
      <c r="H64" s="423"/>
    </row>
    <row r="65" spans="2:8" ht="15.75" customHeight="1">
      <c r="B65" s="421"/>
      <c r="C65" s="429"/>
      <c r="D65" s="419"/>
      <c r="E65" s="428"/>
      <c r="F65" s="420"/>
      <c r="G65" s="430"/>
      <c r="H65" s="423"/>
    </row>
    <row r="66" spans="2:8" ht="15.75" customHeight="1">
      <c r="B66" s="421"/>
      <c r="C66" s="429"/>
      <c r="D66" s="419"/>
      <c r="E66" s="428"/>
      <c r="F66" s="420"/>
      <c r="G66" s="430"/>
      <c r="H66" s="423"/>
    </row>
    <row r="67" spans="2:8" ht="15.75" customHeight="1">
      <c r="B67" s="421"/>
      <c r="C67" s="429"/>
      <c r="D67" s="419"/>
      <c r="E67" s="428"/>
      <c r="F67" s="420"/>
      <c r="G67" s="430"/>
      <c r="H67" s="423"/>
    </row>
    <row r="68" spans="2:8" ht="15.75" customHeight="1">
      <c r="B68" s="421"/>
      <c r="C68" s="429"/>
      <c r="D68" s="419"/>
      <c r="E68" s="428"/>
      <c r="F68" s="420"/>
      <c r="G68" s="430"/>
      <c r="H68" s="423"/>
    </row>
    <row r="69" spans="2:8" ht="15.75" customHeight="1">
      <c r="B69" s="421"/>
      <c r="C69" s="429"/>
      <c r="D69" s="419"/>
      <c r="E69" s="428"/>
      <c r="F69" s="92"/>
      <c r="G69" s="430"/>
      <c r="H69" s="423"/>
    </row>
    <row r="70" spans="2:8" ht="15.75" customHeight="1">
      <c r="B70" s="421"/>
      <c r="C70" s="429"/>
      <c r="D70" s="419"/>
      <c r="E70" s="428"/>
      <c r="F70" s="420"/>
      <c r="G70" s="430"/>
      <c r="H70" s="423"/>
    </row>
    <row r="71" spans="2:8" ht="15.75" customHeight="1">
      <c r="B71" s="421"/>
      <c r="C71" s="429"/>
      <c r="D71" s="419"/>
      <c r="E71" s="428"/>
      <c r="F71" s="420"/>
      <c r="G71" s="430"/>
      <c r="H71" s="423"/>
    </row>
    <row r="72" spans="2:8" ht="15.75" customHeight="1">
      <c r="B72" s="421"/>
      <c r="C72" s="429"/>
      <c r="D72" s="419"/>
      <c r="E72" s="428"/>
      <c r="F72" s="420"/>
      <c r="G72" s="430"/>
      <c r="H72" s="423"/>
    </row>
    <row r="73" spans="2:8" ht="15.75" customHeight="1">
      <c r="B73" s="273"/>
      <c r="C73" s="131"/>
      <c r="D73" s="91"/>
      <c r="E73" s="274"/>
      <c r="F73" s="92"/>
      <c r="G73" s="52"/>
    </row>
    <row r="74" spans="2:8" ht="15.75" customHeight="1">
      <c r="B74" s="421"/>
      <c r="C74" s="429"/>
      <c r="D74" s="419"/>
      <c r="E74" s="274"/>
      <c r="F74" s="420"/>
      <c r="G74" s="52"/>
    </row>
    <row r="75" spans="2:8" ht="15.75" customHeight="1">
      <c r="B75" s="421"/>
      <c r="C75" s="429"/>
      <c r="D75" s="419"/>
      <c r="E75" s="274"/>
      <c r="F75" s="420"/>
      <c r="G75" s="52"/>
    </row>
    <row r="76" spans="2:8" ht="15.75" customHeight="1">
      <c r="B76" s="421"/>
      <c r="C76" s="429"/>
      <c r="D76" s="419"/>
      <c r="E76" s="274"/>
      <c r="F76" s="420"/>
      <c r="G76" s="52"/>
    </row>
    <row r="77" spans="2:8" ht="15.75" customHeight="1">
      <c r="B77" s="421"/>
      <c r="C77" s="429"/>
      <c r="D77" s="419"/>
      <c r="E77" s="274"/>
      <c r="F77" s="420"/>
      <c r="G77" s="52"/>
    </row>
    <row r="78" spans="2:8" ht="15.75" customHeight="1">
      <c r="B78" s="273"/>
      <c r="C78" s="131"/>
      <c r="D78" s="91"/>
      <c r="E78" s="274"/>
      <c r="F78" s="92"/>
      <c r="G78" s="52"/>
    </row>
    <row r="79" spans="2:8" ht="15.75" customHeight="1">
      <c r="B79" s="421"/>
      <c r="C79" s="429"/>
      <c r="D79" s="419"/>
      <c r="E79" s="274"/>
      <c r="F79" s="92"/>
      <c r="G79" s="52"/>
    </row>
    <row r="80" spans="2:8" ht="15.75" customHeight="1">
      <c r="B80" s="421"/>
      <c r="C80" s="429"/>
      <c r="D80" s="419"/>
      <c r="E80" s="274"/>
      <c r="F80" s="420"/>
      <c r="G80" s="52"/>
    </row>
    <row r="81" spans="2:7" ht="15.75" customHeight="1">
      <c r="B81" s="421"/>
      <c r="C81" s="429"/>
      <c r="D81" s="419"/>
      <c r="E81" s="274"/>
      <c r="F81" s="420"/>
      <c r="G81" s="52"/>
    </row>
    <row r="82" spans="2:7" ht="15.75" customHeight="1">
      <c r="B82" s="421"/>
      <c r="C82" s="429"/>
      <c r="D82" s="419"/>
      <c r="E82" s="274"/>
      <c r="F82" s="420"/>
      <c r="G82" s="52"/>
    </row>
    <row r="83" spans="2:7" ht="15.75" customHeight="1">
      <c r="B83" s="421"/>
      <c r="C83" s="429"/>
      <c r="D83" s="419"/>
      <c r="E83" s="274"/>
      <c r="F83" s="344"/>
      <c r="G83" s="52"/>
    </row>
    <row r="84" spans="2:7" ht="15.75" customHeight="1">
      <c r="B84" s="421"/>
      <c r="C84" s="429"/>
      <c r="D84" s="419"/>
      <c r="E84" s="274"/>
      <c r="F84" s="420"/>
      <c r="G84" s="52"/>
    </row>
    <row r="85" spans="2:7" ht="15.75" customHeight="1">
      <c r="B85" s="421"/>
      <c r="C85" s="429"/>
      <c r="D85" s="419"/>
      <c r="E85" s="274"/>
      <c r="F85" s="420"/>
      <c r="G85" s="52"/>
    </row>
    <row r="86" spans="2:7" ht="15.75" customHeight="1">
      <c r="B86" s="421"/>
      <c r="C86" s="429"/>
      <c r="D86" s="419"/>
      <c r="E86" s="274"/>
      <c r="F86" s="420"/>
      <c r="G86" s="52"/>
    </row>
    <row r="87" spans="2:7" ht="15.75" customHeight="1">
      <c r="B87" s="421"/>
      <c r="C87" s="429"/>
      <c r="D87" s="419"/>
      <c r="E87" s="274"/>
      <c r="F87" s="420"/>
      <c r="G87" s="52"/>
    </row>
    <row r="88" spans="2:7" ht="15.75" customHeight="1">
      <c r="B88" s="421"/>
      <c r="C88" s="429"/>
      <c r="D88" s="419"/>
      <c r="E88" s="274"/>
      <c r="F88" s="92"/>
      <c r="G88" s="52"/>
    </row>
    <row r="89" spans="2:7" ht="15.75" customHeight="1">
      <c r="B89" s="421"/>
      <c r="C89" s="429"/>
      <c r="D89" s="419"/>
      <c r="E89" s="274"/>
      <c r="F89" s="92"/>
      <c r="G89" s="52"/>
    </row>
    <row r="90" spans="2:7" ht="15.75" customHeight="1">
      <c r="B90" s="421"/>
      <c r="C90" s="429"/>
      <c r="D90" s="419"/>
      <c r="E90" s="274"/>
      <c r="F90" s="92"/>
      <c r="G90" s="52"/>
    </row>
    <row r="91" spans="2:7" ht="15.75" customHeight="1">
      <c r="B91" s="273"/>
      <c r="C91" s="131"/>
      <c r="D91" s="91"/>
      <c r="E91" s="274"/>
      <c r="F91" s="92"/>
      <c r="G91" s="52"/>
    </row>
    <row r="92" spans="2:7" ht="15.75" customHeight="1">
      <c r="B92" s="273"/>
      <c r="C92" s="131"/>
      <c r="D92" s="91"/>
      <c r="E92" s="274"/>
      <c r="F92" s="92"/>
      <c r="G92" s="52"/>
    </row>
    <row r="93" spans="2:7" ht="15.75" customHeight="1">
      <c r="B93" s="273"/>
      <c r="C93" s="131"/>
      <c r="D93" s="91"/>
      <c r="E93" s="274"/>
      <c r="F93" s="92"/>
      <c r="G93" s="52"/>
    </row>
    <row r="94" spans="2:7" ht="15.75" customHeight="1">
      <c r="B94" s="273"/>
      <c r="C94" s="131"/>
      <c r="D94" s="91"/>
      <c r="E94" s="274"/>
      <c r="F94" s="92"/>
      <c r="G94" s="52"/>
    </row>
    <row r="95" spans="2:7" ht="15.75" customHeight="1">
      <c r="B95" s="273"/>
      <c r="C95" s="131"/>
      <c r="D95" s="91"/>
      <c r="E95" s="274"/>
      <c r="F95" s="92"/>
      <c r="G95" s="52"/>
    </row>
    <row r="96" spans="2:7" ht="15.75" customHeight="1">
      <c r="B96" s="273"/>
      <c r="C96" s="131"/>
      <c r="D96" s="91"/>
      <c r="E96" s="274"/>
      <c r="F96" s="420"/>
      <c r="G96" s="52"/>
    </row>
    <row r="97" spans="2:7" ht="15.75" customHeight="1">
      <c r="B97" s="273"/>
      <c r="C97" s="131"/>
      <c r="D97" s="91"/>
      <c r="E97" s="274"/>
      <c r="F97" s="92"/>
      <c r="G97" s="52"/>
    </row>
    <row r="98" spans="2:7" ht="15.75" customHeight="1">
      <c r="B98" s="273"/>
      <c r="C98" s="131"/>
      <c r="D98" s="91"/>
      <c r="E98" s="274"/>
      <c r="F98" s="420"/>
      <c r="G98" s="52"/>
    </row>
    <row r="99" spans="2:7" ht="15.75" customHeight="1">
      <c r="B99" s="273"/>
      <c r="C99" s="131"/>
      <c r="D99" s="91"/>
      <c r="E99" s="274"/>
      <c r="F99" s="92"/>
      <c r="G99" s="52"/>
    </row>
    <row r="100" spans="2:7" ht="15.75" customHeight="1">
      <c r="B100" s="273"/>
      <c r="C100" s="131"/>
      <c r="D100" s="91"/>
      <c r="E100" s="274"/>
      <c r="F100" s="92"/>
      <c r="G100" s="52" t="s">
        <v>0</v>
      </c>
    </row>
    <row r="101" spans="2:7" ht="15.75" customHeight="1">
      <c r="B101" s="273"/>
      <c r="C101" s="131"/>
      <c r="D101" s="91"/>
      <c r="E101" s="274"/>
      <c r="F101" s="92"/>
      <c r="G101" s="52"/>
    </row>
    <row r="102" spans="2:7" ht="15.75" customHeight="1">
      <c r="B102" s="273"/>
      <c r="C102" s="131"/>
      <c r="D102" s="91"/>
      <c r="E102" s="274"/>
      <c r="F102" s="92"/>
      <c r="G102" s="52"/>
    </row>
    <row r="103" spans="2:7" ht="15.75" customHeight="1">
      <c r="B103" s="273"/>
      <c r="C103" s="131"/>
      <c r="D103" s="91"/>
      <c r="E103" s="274"/>
      <c r="F103" s="389"/>
      <c r="G103" s="52"/>
    </row>
    <row r="104" spans="2:7" ht="15.75" customHeight="1">
      <c r="B104" s="273"/>
      <c r="C104" s="131"/>
      <c r="D104" s="91"/>
      <c r="E104" s="274"/>
      <c r="F104" s="389"/>
      <c r="G104" s="52"/>
    </row>
    <row r="105" spans="2:7" ht="15.75" customHeight="1">
      <c r="B105" s="273"/>
      <c r="C105" s="131"/>
      <c r="D105" s="91"/>
      <c r="E105" s="274"/>
      <c r="F105" s="389"/>
      <c r="G105" s="52"/>
    </row>
    <row r="106" spans="2:7" ht="15.75" customHeight="1">
      <c r="B106" s="273"/>
      <c r="C106" s="131"/>
      <c r="D106" s="91"/>
      <c r="E106" s="274"/>
      <c r="F106" s="92"/>
      <c r="G106" s="52"/>
    </row>
    <row r="107" spans="2:7" ht="15.75" customHeight="1">
      <c r="B107" s="273"/>
      <c r="C107" s="131"/>
      <c r="D107" s="91"/>
      <c r="E107" s="274"/>
      <c r="F107" s="92"/>
      <c r="G107" s="52"/>
    </row>
    <row r="108" spans="2:7" ht="15.75" customHeight="1">
      <c r="B108" s="273"/>
      <c r="C108" s="131"/>
      <c r="D108" s="91"/>
      <c r="E108" s="274"/>
      <c r="F108" s="92"/>
      <c r="G108" s="52"/>
    </row>
    <row r="109" spans="2:7" ht="15.75" customHeight="1">
      <c r="B109" s="273"/>
      <c r="C109" s="131"/>
      <c r="D109" s="91"/>
      <c r="E109" s="274"/>
      <c r="F109" s="92"/>
      <c r="G109" s="52"/>
    </row>
    <row r="110" spans="2:7" ht="15.75" customHeight="1">
      <c r="B110" s="273"/>
      <c r="C110" s="131"/>
      <c r="D110" s="91"/>
      <c r="E110" s="274"/>
      <c r="F110" s="92"/>
      <c r="G110" s="52"/>
    </row>
    <row r="111" spans="2:7" ht="15.75" customHeight="1">
      <c r="B111" s="273"/>
      <c r="C111" s="131"/>
      <c r="D111" s="91"/>
      <c r="E111" s="274"/>
      <c r="F111" s="92"/>
      <c r="G111" s="52"/>
    </row>
  </sheetData>
  <mergeCells count="3">
    <mergeCell ref="B2:G2"/>
    <mergeCell ref="B3:G3"/>
    <mergeCell ref="B4:G4"/>
  </mergeCells>
  <hyperlinks>
    <hyperlink ref="A6" location="null!A1" display="Index" xr:uid="{00000000-0004-0000-1100-000000000000}"/>
    <hyperlink ref="A1" location="'TABLE OF CONTENTS'!A1" display="INDEX" xr:uid="{A2C5C8EA-05CF-46EC-AD05-08ECCA211153}"/>
  </hyperlink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3">
        <x14:dataValidation type="list" allowBlank="1" xr:uid="{2502867C-77BB-454A-8F7B-8CD57943E9EA}">
          <x14:formula1>
            <xm:f>COA!$D$9:$D$166</xm:f>
          </x14:formula1>
          <xm:sqref>D38 F102 D101:E962 D78 D73 E73:E90 D60 E38:E60 D56 D49 D44 D41 D91:E99</xm:sqref>
        </x14:dataValidation>
        <x14:dataValidation type="list" allowBlank="1" showInputMessage="1" showErrorMessage="1" xr:uid="{7E2CF4F2-C5B2-413E-B7C7-7E84E4E8B11D}">
          <x14:formula1>
            <xm:f>COA!$D$6:$D$173</xm:f>
          </x14:formula1>
          <xm:sqref>F103:F106</xm:sqref>
        </x14:dataValidation>
        <x14:dataValidation type="list" allowBlank="1" showInputMessage="1" showErrorMessage="1" xr:uid="{5C1BA9CF-0A4D-4F51-9371-50E06032023B}">
          <x14:formula1>
            <xm:f>COA!$D$7:$D$172</xm:f>
          </x14:formula1>
          <xm:sqref>F10:F99</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E2B33-9E80-40F4-A55E-BB56C42FCF02}">
  <sheetPr codeName="Sheet39">
    <tabColor rgb="FF0070C0"/>
    <outlinePr summaryBelow="0" summaryRight="0"/>
  </sheetPr>
  <dimension ref="A1:BE179"/>
  <sheetViews>
    <sheetView workbookViewId="0">
      <pane ySplit="8" topLeftCell="A10" activePane="bottomLeft" state="frozen"/>
      <selection activeCell="R22" sqref="R22"/>
      <selection pane="bottomLeft" activeCell="B5" sqref="B5"/>
    </sheetView>
  </sheetViews>
  <sheetFormatPr defaultColWidth="12.5703125" defaultRowHeight="15.75" customHeight="1"/>
  <cols>
    <col min="1" max="1" width="3" style="155" customWidth="1"/>
    <col min="2" max="2" width="8.7109375" style="155" customWidth="1"/>
    <col min="3" max="3" width="11.140625" style="155" customWidth="1"/>
    <col min="4" max="4" width="20.85546875" style="155" customWidth="1"/>
    <col min="5" max="5" width="8.42578125" style="155" customWidth="1"/>
    <col min="6" max="6" width="13" style="155" customWidth="1"/>
    <col min="7" max="7" width="11" style="155" customWidth="1"/>
    <col min="8" max="8" width="8.5703125" style="155" customWidth="1"/>
    <col min="9" max="9" width="14.85546875" style="155" customWidth="1"/>
    <col min="10" max="10" width="14.42578125" style="155" customWidth="1"/>
    <col min="11" max="11" width="17.140625" style="155" customWidth="1"/>
    <col min="12" max="12" width="33.7109375" style="155" customWidth="1"/>
    <col min="13" max="13" width="11.7109375" style="155" hidden="1" customWidth="1"/>
    <col min="14" max="14" width="4.85546875" style="155" hidden="1" customWidth="1"/>
    <col min="15" max="15" width="4.5703125" style="155" hidden="1" customWidth="1"/>
    <col min="16" max="16" width="5.140625" style="155" hidden="1" customWidth="1"/>
    <col min="17" max="17" width="4.42578125" style="155" hidden="1" customWidth="1"/>
    <col min="18" max="18" width="6.28515625" style="155" hidden="1" customWidth="1"/>
    <col min="19" max="19" width="8.5703125" style="155" hidden="1" customWidth="1"/>
    <col min="20" max="20" width="10.7109375" style="155" hidden="1" customWidth="1"/>
    <col min="21" max="21" width="12.5703125" style="171" hidden="1" customWidth="1"/>
    <col min="22" max="23" width="12.5703125" style="155" hidden="1" customWidth="1"/>
    <col min="24" max="24" width="12.5703125" style="176" hidden="1" customWidth="1"/>
    <col min="25" max="25" width="12.5703125" style="155" hidden="1" customWidth="1"/>
    <col min="26" max="26" width="12.5703125" style="176" hidden="1" customWidth="1"/>
    <col min="27" max="27" width="12.5703125" style="155" hidden="1" customWidth="1"/>
    <col min="28" max="28" width="14.85546875" style="654" hidden="1" customWidth="1"/>
    <col min="29" max="29" width="12.5703125" style="654" hidden="1" customWidth="1"/>
    <col min="30" max="31" width="12.5703125" style="155" hidden="1" customWidth="1"/>
    <col min="32" max="32" width="12.5703125" style="171" hidden="1" customWidth="1"/>
    <col min="33" max="33" width="12.5703125" style="221" hidden="1" customWidth="1"/>
    <col min="34" max="34" width="15.42578125" style="155" hidden="1" customWidth="1"/>
    <col min="35" max="35" width="12.5703125" style="155" hidden="1" customWidth="1"/>
    <col min="36" max="37" width="12.5703125" style="655" hidden="1" customWidth="1"/>
    <col min="38" max="38" width="12.5703125" style="654" hidden="1" customWidth="1"/>
    <col min="39" max="39" width="12" style="198" hidden="1" customWidth="1"/>
    <col min="40" max="41" width="12" style="155" hidden="1" customWidth="1"/>
    <col min="42" max="42" width="12.140625" style="155" hidden="1" customWidth="1"/>
    <col min="43" max="43" width="3.42578125" style="155" hidden="1" customWidth="1"/>
    <col min="44" max="44" width="3.42578125" style="155" customWidth="1"/>
    <col min="45" max="45" width="12.5703125" style="155"/>
    <col min="46" max="46" width="24.28515625" style="155" hidden="1" customWidth="1"/>
    <col min="47" max="47" width="5.7109375" style="155" hidden="1" customWidth="1"/>
    <col min="48" max="48" width="29.28515625" style="155" hidden="1" customWidth="1"/>
    <col min="49" max="49" width="19" style="155" hidden="1" customWidth="1"/>
    <col min="50" max="50" width="16.85546875" style="155" hidden="1" customWidth="1"/>
    <col min="51" max="51" width="13.28515625" style="155" hidden="1" customWidth="1"/>
    <col min="52" max="52" width="0" style="155" hidden="1" customWidth="1"/>
    <col min="53" max="53" width="14.85546875" style="155" hidden="1" customWidth="1"/>
    <col min="54" max="54" width="14.7109375" style="155" hidden="1" customWidth="1"/>
    <col min="55" max="55" width="0" style="155" hidden="1" customWidth="1"/>
    <col min="56" max="56" width="17" style="155" bestFit="1" customWidth="1"/>
    <col min="57" max="16384" width="12.5703125" style="155"/>
  </cols>
  <sheetData>
    <row r="1" spans="1:57" ht="15.75" customHeight="1">
      <c r="A1" s="59" t="s">
        <v>1650</v>
      </c>
      <c r="B1"/>
      <c r="C1" s="63" t="s">
        <v>1079</v>
      </c>
      <c r="D1"/>
      <c r="E1" s="625" t="s">
        <v>0</v>
      </c>
      <c r="F1" s="1157"/>
      <c r="G1" s="1157"/>
      <c r="H1" s="1157"/>
      <c r="I1" s="1157"/>
      <c r="J1" s="1157"/>
      <c r="K1" s="1157"/>
      <c r="L1" s="1157"/>
      <c r="M1" s="1158" t="s">
        <v>0</v>
      </c>
      <c r="N1" s="1158"/>
      <c r="O1" s="1158" t="s">
        <v>0</v>
      </c>
      <c r="P1" s="1158" t="s">
        <v>0</v>
      </c>
      <c r="Q1" s="1158" t="s">
        <v>0</v>
      </c>
      <c r="R1" s="1158" t="s">
        <v>0</v>
      </c>
      <c r="S1" s="1158" t="s">
        <v>0</v>
      </c>
      <c r="T1" s="1158"/>
      <c r="U1" s="1158" t="s">
        <v>0</v>
      </c>
      <c r="V1" s="1158" t="s">
        <v>0</v>
      </c>
      <c r="W1" s="1158" t="s">
        <v>0</v>
      </c>
      <c r="X1" s="1159" t="s">
        <v>0</v>
      </c>
      <c r="Y1" s="1158" t="s">
        <v>0</v>
      </c>
      <c r="Z1" s="1159"/>
      <c r="AA1" s="1158" t="s">
        <v>0</v>
      </c>
      <c r="AB1" s="645" t="s">
        <v>0</v>
      </c>
      <c r="AC1" s="645" t="s">
        <v>0</v>
      </c>
      <c r="AD1" s="1158" t="s">
        <v>0</v>
      </c>
      <c r="AE1" s="1158"/>
      <c r="AF1" s="1160" t="s">
        <v>0</v>
      </c>
      <c r="AG1" s="1161" t="s">
        <v>0</v>
      </c>
      <c r="AH1" s="1158" t="s">
        <v>0</v>
      </c>
      <c r="AI1" s="1158" t="s">
        <v>0</v>
      </c>
      <c r="AJ1" s="643" t="s">
        <v>0</v>
      </c>
      <c r="AK1" s="643"/>
      <c r="AL1" s="643" t="s">
        <v>0</v>
      </c>
      <c r="AM1" s="644" t="s">
        <v>0</v>
      </c>
      <c r="AN1" s="643"/>
      <c r="AO1" s="643"/>
      <c r="AP1" s="643" t="s">
        <v>0</v>
      </c>
      <c r="AQ1" s="643" t="s">
        <v>0</v>
      </c>
      <c r="AR1" s="643"/>
      <c r="AT1" s="587"/>
      <c r="AU1" s="587"/>
      <c r="AV1" s="587"/>
      <c r="AX1" s="588"/>
      <c r="AY1" s="588"/>
      <c r="BD1" s="589"/>
    </row>
    <row r="2" spans="1:57" ht="15.75" customHeight="1">
      <c r="A2" s="1157" t="s">
        <v>0</v>
      </c>
      <c r="B2" s="1333" t="str">
        <f>COA!B2</f>
        <v>ANONYMOUS COMPANY</v>
      </c>
      <c r="C2" s="1333"/>
      <c r="D2" s="1333"/>
      <c r="E2" s="1333"/>
      <c r="F2" s="1333"/>
      <c r="G2" s="1333"/>
      <c r="H2" s="1333"/>
      <c r="I2" s="1333"/>
      <c r="J2" s="1333"/>
      <c r="K2" s="1333"/>
      <c r="L2" s="1333"/>
      <c r="M2" s="1158"/>
      <c r="N2" s="1158"/>
      <c r="O2" s="1158"/>
      <c r="P2" s="1158"/>
      <c r="Q2" s="1158"/>
      <c r="R2" s="1158" t="s">
        <v>0</v>
      </c>
      <c r="S2" s="1158" t="s">
        <v>0</v>
      </c>
      <c r="T2" s="1158"/>
      <c r="U2" s="1158"/>
      <c r="V2" s="1158"/>
      <c r="W2" s="1158"/>
      <c r="X2" s="1159"/>
      <c r="Y2" s="1158"/>
      <c r="Z2" s="1159"/>
      <c r="AA2" s="1158"/>
      <c r="AB2" s="645"/>
      <c r="AC2" s="645"/>
      <c r="AD2" s="1158"/>
      <c r="AE2" s="1158"/>
      <c r="AF2" s="1160"/>
      <c r="AG2" s="1161"/>
      <c r="AH2" s="1158"/>
      <c r="AI2" s="1158"/>
      <c r="AJ2" s="643"/>
      <c r="AK2" s="643"/>
      <c r="AL2" s="643" t="s">
        <v>0</v>
      </c>
      <c r="AM2" s="644" t="s">
        <v>0</v>
      </c>
      <c r="AN2" s="643"/>
      <c r="AO2" s="643"/>
      <c r="AP2" s="643" t="s">
        <v>0</v>
      </c>
      <c r="AQ2" s="643" t="s">
        <v>0</v>
      </c>
      <c r="AR2" s="643"/>
      <c r="AT2" s="590"/>
      <c r="AU2" s="590"/>
      <c r="AV2" s="591"/>
      <c r="AW2" s="198"/>
      <c r="AX2" s="198"/>
      <c r="AY2" s="198"/>
      <c r="AZ2" s="592"/>
      <c r="BA2" s="593"/>
    </row>
    <row r="3" spans="1:57" ht="15.75" customHeight="1">
      <c r="A3" s="1157" t="s">
        <v>0</v>
      </c>
      <c r="B3" s="1333" t="s">
        <v>848</v>
      </c>
      <c r="C3" s="1333"/>
      <c r="D3" s="1333"/>
      <c r="E3" s="1333"/>
      <c r="F3" s="1333"/>
      <c r="G3" s="1333"/>
      <c r="H3" s="1333"/>
      <c r="I3" s="1333"/>
      <c r="J3" s="1333"/>
      <c r="K3" s="1333"/>
      <c r="L3" s="1333"/>
      <c r="M3" s="1158"/>
      <c r="N3" s="1158"/>
      <c r="O3" s="1158"/>
      <c r="P3" s="1158"/>
      <c r="Q3" s="1158"/>
      <c r="R3" s="1158" t="s">
        <v>0</v>
      </c>
      <c r="S3" s="1158" t="s">
        <v>0</v>
      </c>
      <c r="T3" s="1158"/>
      <c r="U3" s="1158"/>
      <c r="V3" s="1158"/>
      <c r="W3" s="1158"/>
      <c r="X3" s="1159"/>
      <c r="Y3" s="1158"/>
      <c r="Z3" s="1159"/>
      <c r="AA3" s="1158"/>
      <c r="AB3" s="645"/>
      <c r="AC3" s="645"/>
      <c r="AD3" s="1158"/>
      <c r="AE3" s="1158"/>
      <c r="AF3" s="1160"/>
      <c r="AG3" s="1161"/>
      <c r="AH3" s="1158"/>
      <c r="AI3" s="1158"/>
      <c r="AJ3" s="643"/>
      <c r="AK3" s="643"/>
      <c r="AL3" s="643" t="s">
        <v>0</v>
      </c>
      <c r="AM3" s="644" t="s">
        <v>0</v>
      </c>
      <c r="AN3" s="643"/>
      <c r="AO3" s="643"/>
      <c r="AP3" s="643" t="s">
        <v>0</v>
      </c>
      <c r="AQ3" s="643" t="s">
        <v>0</v>
      </c>
      <c r="AR3" s="643"/>
      <c r="AT3" s="594"/>
      <c r="AU3" s="594"/>
      <c r="AW3" s="591"/>
      <c r="AX3" s="171"/>
      <c r="AY3" s="198"/>
      <c r="AZ3" s="592"/>
      <c r="BA3" s="593"/>
    </row>
    <row r="4" spans="1:57" ht="15.75" customHeight="1">
      <c r="A4" s="1157"/>
      <c r="B4" s="1298" t="str">
        <f>"AS AT "&amp;UPPER(TEXT(COA!B4,"MMMM DD, YYYY"))</f>
        <v>AS AT DECEMBER 31, 2025</v>
      </c>
      <c r="C4" s="1298"/>
      <c r="D4" s="1298"/>
      <c r="E4" s="1298"/>
      <c r="F4" s="1298"/>
      <c r="G4" s="1298"/>
      <c r="H4" s="1298"/>
      <c r="I4" s="1298"/>
      <c r="J4" s="1298"/>
      <c r="K4" s="1298"/>
      <c r="L4" s="1298"/>
      <c r="M4" s="1158"/>
      <c r="N4" s="1158"/>
      <c r="O4" s="1158"/>
      <c r="P4" s="1158"/>
      <c r="Q4" s="1158"/>
      <c r="R4" s="1158"/>
      <c r="S4" s="1158"/>
      <c r="T4" s="1158"/>
      <c r="U4" s="1158"/>
      <c r="V4" s="1158"/>
      <c r="W4" s="1158"/>
      <c r="X4" s="1159"/>
      <c r="Y4" s="1158"/>
      <c r="Z4" s="1159"/>
      <c r="AA4" s="1158"/>
      <c r="AB4" s="645"/>
      <c r="AC4" s="645"/>
      <c r="AD4" s="1158"/>
      <c r="AE4" s="1158"/>
      <c r="AF4" s="1160"/>
      <c r="AG4" s="1161"/>
      <c r="AH4" s="1158"/>
      <c r="AI4" s="1158"/>
      <c r="AJ4" s="643"/>
      <c r="AK4" s="643"/>
      <c r="AL4" s="643"/>
      <c r="AM4" s="644"/>
      <c r="AN4" s="643"/>
      <c r="AO4" s="643"/>
      <c r="AP4" s="643"/>
      <c r="AQ4" s="643"/>
      <c r="AR4" s="643"/>
      <c r="AT4" s="594"/>
      <c r="AU4" s="594"/>
      <c r="AW4" s="171"/>
      <c r="AX4" s="171"/>
      <c r="AY4" s="171"/>
      <c r="AZ4" s="592"/>
      <c r="BA4" s="593"/>
    </row>
    <row r="5" spans="1:57" ht="15.75" customHeight="1">
      <c r="A5" s="625" t="s">
        <v>0</v>
      </c>
      <c r="B5" s="625" t="s">
        <v>0</v>
      </c>
      <c r="C5" s="194" t="s">
        <v>1018</v>
      </c>
      <c r="D5" s="1167" t="s">
        <v>0</v>
      </c>
      <c r="E5" s="1155" t="s">
        <v>0</v>
      </c>
      <c r="F5" s="625" t="s">
        <v>0</v>
      </c>
      <c r="G5" s="625"/>
      <c r="H5" s="625"/>
      <c r="I5" s="625"/>
      <c r="J5" s="1168">
        <v>93828.66</v>
      </c>
      <c r="K5" s="625">
        <v>1.4390000000000001</v>
      </c>
      <c r="L5" s="1168">
        <f>J5*K5</f>
        <v>135019.44174000001</v>
      </c>
      <c r="M5" s="1155" t="s">
        <v>0</v>
      </c>
      <c r="N5" s="1155" t="s">
        <v>0</v>
      </c>
      <c r="O5" s="1155"/>
      <c r="P5" s="1155"/>
      <c r="Q5" s="1155"/>
      <c r="R5" s="1158" t="s">
        <v>0</v>
      </c>
      <c r="S5" s="1158" t="s">
        <v>0</v>
      </c>
      <c r="T5" s="1158"/>
      <c r="U5" s="1156"/>
      <c r="V5" s="1170" t="s">
        <v>25</v>
      </c>
      <c r="W5" s="1171"/>
      <c r="X5" s="1172">
        <f ca="1">SUM(X10:X98)</f>
        <v>-2.9103830456733704E-11</v>
      </c>
      <c r="Y5" s="1155"/>
      <c r="Z5" s="1162"/>
      <c r="AA5" s="1163"/>
      <c r="AB5" s="1164"/>
      <c r="AC5" s="1164"/>
      <c r="AD5" s="1155"/>
      <c r="AE5" s="1155"/>
      <c r="AF5" s="1156"/>
      <c r="AG5" s="1165"/>
      <c r="AH5" s="1166"/>
      <c r="AI5" s="1155"/>
      <c r="AJ5" s="643" t="s">
        <v>0</v>
      </c>
      <c r="AK5" s="643"/>
      <c r="AL5" s="643" t="s">
        <v>0</v>
      </c>
      <c r="AM5" s="644" t="s">
        <v>0</v>
      </c>
      <c r="AN5" s="643"/>
      <c r="AO5" s="643"/>
      <c r="AP5" s="643" t="s">
        <v>0</v>
      </c>
      <c r="AQ5" s="643" t="s">
        <v>0</v>
      </c>
      <c r="AR5" s="643"/>
      <c r="AT5" s="596"/>
      <c r="AU5" s="596"/>
      <c r="AV5" s="591"/>
      <c r="AW5" s="591"/>
      <c r="AX5" s="591"/>
      <c r="AY5" s="597"/>
      <c r="AZ5" s="592"/>
      <c r="BA5" s="593"/>
      <c r="BC5" s="596"/>
      <c r="BD5" s="591"/>
      <c r="BE5" s="598"/>
    </row>
    <row r="6" spans="1:57" ht="15.75" customHeight="1" thickBot="1">
      <c r="A6" s="177"/>
      <c r="B6" s="208"/>
      <c r="C6" s="208"/>
      <c r="D6" s="208"/>
      <c r="E6" s="208"/>
      <c r="F6" s="208"/>
      <c r="G6" s="208"/>
      <c r="H6" s="208"/>
      <c r="I6" s="208"/>
      <c r="J6" s="208"/>
      <c r="K6" s="208"/>
      <c r="L6" s="208"/>
      <c r="M6" s="158"/>
      <c r="N6" s="158"/>
      <c r="O6" s="156"/>
      <c r="P6" s="158"/>
      <c r="Q6" s="158"/>
      <c r="R6" s="158"/>
      <c r="S6" s="158"/>
      <c r="T6" s="158"/>
      <c r="U6" s="157" t="s">
        <v>0</v>
      </c>
      <c r="V6" s="158"/>
      <c r="W6" s="158" t="s">
        <v>1</v>
      </c>
      <c r="X6" s="174"/>
      <c r="Y6" s="158" t="s">
        <v>0</v>
      </c>
      <c r="Z6" s="174"/>
      <c r="AA6" s="160" t="s">
        <v>0</v>
      </c>
      <c r="AB6" s="599" t="s">
        <v>0</v>
      </c>
      <c r="AC6" s="599" t="s">
        <v>0</v>
      </c>
      <c r="AD6" s="158" t="s">
        <v>0</v>
      </c>
      <c r="AE6" s="158"/>
      <c r="AF6" s="157"/>
      <c r="AG6" s="219"/>
      <c r="AH6" s="162"/>
      <c r="AI6" s="158"/>
      <c r="AJ6" s="600" t="s">
        <v>0</v>
      </c>
      <c r="AK6" s="600"/>
      <c r="AL6" s="599" t="s">
        <v>0</v>
      </c>
      <c r="AM6" s="161" t="s">
        <v>0</v>
      </c>
      <c r="AN6" s="159"/>
      <c r="AO6" s="159"/>
      <c r="AP6" s="159" t="s">
        <v>0</v>
      </c>
      <c r="AQ6" s="159" t="s">
        <v>0</v>
      </c>
      <c r="AR6" s="159"/>
      <c r="AX6" s="171"/>
      <c r="AY6" s="171"/>
      <c r="BA6" s="593"/>
    </row>
    <row r="7" spans="1:57" ht="15.75" customHeight="1" thickTop="1">
      <c r="A7" s="177"/>
      <c r="B7" s="1334" t="s">
        <v>744</v>
      </c>
      <c r="C7" s="1335"/>
      <c r="D7" s="1335"/>
      <c r="E7" s="1335"/>
      <c r="F7" s="1335"/>
      <c r="G7" s="1335"/>
      <c r="H7" s="1335"/>
      <c r="I7" s="1335"/>
      <c r="J7" s="1335"/>
      <c r="K7" s="1335"/>
      <c r="L7" s="1336"/>
      <c r="M7" s="1334" t="s">
        <v>745</v>
      </c>
      <c r="N7" s="1335"/>
      <c r="O7" s="1335"/>
      <c r="P7" s="1335"/>
      <c r="Q7" s="1335"/>
      <c r="R7" s="1335"/>
      <c r="S7" s="1335"/>
      <c r="T7" s="1335"/>
      <c r="U7" s="1336"/>
      <c r="V7" s="1334" t="s">
        <v>746</v>
      </c>
      <c r="W7" s="1335"/>
      <c r="X7" s="1335"/>
      <c r="Y7" s="1334" t="s">
        <v>747</v>
      </c>
      <c r="Z7" s="1335"/>
      <c r="AA7" s="1335"/>
      <c r="AB7" s="1336"/>
      <c r="AC7" s="1334" t="s">
        <v>26</v>
      </c>
      <c r="AD7" s="1335"/>
      <c r="AE7" s="1335"/>
      <c r="AF7" s="1336"/>
      <c r="AG7" s="1334" t="s">
        <v>748</v>
      </c>
      <c r="AH7" s="1335"/>
      <c r="AI7" s="1335"/>
      <c r="AJ7" s="1336"/>
      <c r="AK7" s="601"/>
      <c r="AL7" s="1337" t="s">
        <v>749</v>
      </c>
      <c r="AM7" s="1337"/>
      <c r="AN7" s="1337"/>
      <c r="AO7" s="1337"/>
      <c r="AP7" s="1338"/>
      <c r="AQ7" s="159" t="s">
        <v>0</v>
      </c>
      <c r="AR7" s="159"/>
      <c r="AT7" s="1332" t="s">
        <v>750</v>
      </c>
      <c r="AU7" s="1332"/>
      <c r="AV7" s="1332"/>
      <c r="AW7" s="1332"/>
      <c r="AX7" s="1332"/>
      <c r="AY7" s="1332"/>
      <c r="AZ7" s="1332"/>
      <c r="BA7" s="1332"/>
      <c r="BB7" s="1332"/>
      <c r="BC7" s="1332"/>
    </row>
    <row r="8" spans="1:57" ht="48.75" customHeight="1">
      <c r="A8" s="177"/>
      <c r="B8" s="602" t="s">
        <v>8</v>
      </c>
      <c r="C8" s="165" t="s">
        <v>6</v>
      </c>
      <c r="D8" s="209" t="s">
        <v>9</v>
      </c>
      <c r="E8" s="209" t="s">
        <v>238</v>
      </c>
      <c r="F8" s="209" t="s">
        <v>7</v>
      </c>
      <c r="G8" s="209" t="s">
        <v>225</v>
      </c>
      <c r="H8" s="209" t="s">
        <v>11</v>
      </c>
      <c r="I8" s="209" t="s">
        <v>226</v>
      </c>
      <c r="J8" s="209" t="s">
        <v>751</v>
      </c>
      <c r="K8" s="209" t="s">
        <v>47</v>
      </c>
      <c r="L8" s="603" t="s">
        <v>10</v>
      </c>
      <c r="M8" s="604" t="s">
        <v>227</v>
      </c>
      <c r="N8" s="163" t="s">
        <v>223</v>
      </c>
      <c r="O8" s="163" t="s">
        <v>2</v>
      </c>
      <c r="P8" s="164" t="s">
        <v>38</v>
      </c>
      <c r="Q8" s="164" t="s">
        <v>752</v>
      </c>
      <c r="R8" s="165" t="s">
        <v>4</v>
      </c>
      <c r="S8" s="166" t="s">
        <v>5</v>
      </c>
      <c r="T8" s="167" t="s">
        <v>753</v>
      </c>
      <c r="U8" s="167" t="s">
        <v>754</v>
      </c>
      <c r="V8" s="605" t="s">
        <v>254</v>
      </c>
      <c r="W8" s="167" t="s">
        <v>12</v>
      </c>
      <c r="X8" s="606" t="s">
        <v>13</v>
      </c>
      <c r="Y8" s="175" t="s">
        <v>15</v>
      </c>
      <c r="Z8" s="163" t="s">
        <v>14</v>
      </c>
      <c r="AA8" s="175" t="s">
        <v>19</v>
      </c>
      <c r="AB8" s="607" t="s">
        <v>16</v>
      </c>
      <c r="AC8" s="608" t="s">
        <v>18</v>
      </c>
      <c r="AD8" s="609" t="s">
        <v>17</v>
      </c>
      <c r="AE8" s="169" t="s">
        <v>755</v>
      </c>
      <c r="AF8" s="610" t="s">
        <v>756</v>
      </c>
      <c r="AG8" s="611" t="s">
        <v>757</v>
      </c>
      <c r="AH8" s="168" t="s">
        <v>21</v>
      </c>
      <c r="AI8" s="220" t="s">
        <v>20</v>
      </c>
      <c r="AJ8" s="607" t="s">
        <v>22</v>
      </c>
      <c r="AK8" s="163" t="s">
        <v>758</v>
      </c>
      <c r="AL8" s="612" t="s">
        <v>749</v>
      </c>
      <c r="AM8" s="613" t="s">
        <v>26</v>
      </c>
      <c r="AN8" s="609" t="s">
        <v>27</v>
      </c>
      <c r="AO8" s="609" t="s">
        <v>759</v>
      </c>
      <c r="AP8" s="614" t="s">
        <v>78</v>
      </c>
      <c r="AQ8" s="159" t="s">
        <v>0</v>
      </c>
      <c r="AR8" s="159"/>
      <c r="AT8" s="155" t="s">
        <v>238</v>
      </c>
      <c r="AU8" s="155" t="s">
        <v>40</v>
      </c>
      <c r="AV8" s="155" t="s">
        <v>45</v>
      </c>
      <c r="AW8" s="155" t="s">
        <v>13</v>
      </c>
      <c r="AX8" s="615" t="s">
        <v>760</v>
      </c>
      <c r="AY8" s="588" t="s">
        <v>761</v>
      </c>
      <c r="AZ8" s="588" t="s">
        <v>762</v>
      </c>
      <c r="BA8" s="588" t="s">
        <v>763</v>
      </c>
      <c r="BB8" s="588" t="s">
        <v>764</v>
      </c>
      <c r="BC8" s="155" t="s">
        <v>765</v>
      </c>
    </row>
    <row r="9" spans="1:57" s="179" customFormat="1" ht="15.75" hidden="1" customHeight="1">
      <c r="A9" s="177" t="s">
        <v>0</v>
      </c>
      <c r="B9" s="616" t="s">
        <v>0</v>
      </c>
      <c r="C9" s="194" t="s">
        <v>0</v>
      </c>
      <c r="D9" s="183" t="s">
        <v>0</v>
      </c>
      <c r="F9" s="180" t="s">
        <v>0</v>
      </c>
      <c r="G9" s="1095" t="str">
        <f t="shared" ref="G9" si="0">IF(H9&lt;&gt;0,J9/H9*-1," ")</f>
        <v xml:space="preserve"> </v>
      </c>
      <c r="H9" s="191">
        <v>0</v>
      </c>
      <c r="J9" s="187">
        <v>0</v>
      </c>
      <c r="K9" s="1095">
        <f>J9</f>
        <v>0</v>
      </c>
      <c r="L9" s="1100" t="str" cm="1">
        <f t="array" ref="L9">IFERROR(INDEX(M_TRX_TYPE[#Data], U9, MATCH($C$5,M_TRX_TYPE[#Headers], 0)), "")</f>
        <v/>
      </c>
      <c r="M9" s="1102" t="str">
        <f t="shared" ref="M9" si="1">IF(OR(E9="O",E9="B",E9="S"),D9,"")</f>
        <v/>
      </c>
      <c r="N9" s="1103">
        <f>IF((O9="H"),(MAX($N7:N$8)+1),0)</f>
        <v>0</v>
      </c>
      <c r="O9" s="1104" t="str">
        <f>IF(OR(P9=0,P9=""),"",IF(P9-R9=S9,"H",""))</f>
        <v/>
      </c>
      <c r="P9" s="1105">
        <v>0</v>
      </c>
      <c r="Q9" s="1106">
        <f>IF((E9="B"),(MAX($Q$6:Q7)+1),0)</f>
        <v>0</v>
      </c>
      <c r="R9" s="1106">
        <f>IF((AG9&lt;0),(MAX($R7:$R$8)+1),0)</f>
        <v>0</v>
      </c>
      <c r="S9" s="1086">
        <f>IF((M9=""),0,COUNTIF($M$8:M9,M9))</f>
        <v>0</v>
      </c>
      <c r="T9" s="1086" t="str">
        <f>IFERROR(MATCH(M9,M_SYMBOL[SYMBOL],0),"")</f>
        <v/>
      </c>
      <c r="U9" s="1070" t="str">
        <f>IFERROR(MATCH(E9,M_TRX_TYPE[TYPE],0),"")</f>
        <v/>
      </c>
      <c r="V9" s="1107">
        <f t="shared" ref="V9" si="2">IF((E9="O"),H9,0)</f>
        <v>0</v>
      </c>
      <c r="W9" s="1095">
        <f t="shared" ref="W9" si="3">IF((E9="O"),J9,IF(E9="OC",J9,0))</f>
        <v>0</v>
      </c>
      <c r="X9" s="1108">
        <f t="shared" ref="X9" si="4">IF(OR(E9="O",E9="OC"),0,J9*-1)</f>
        <v>0</v>
      </c>
      <c r="Y9" s="1109">
        <f>IF(S9=1,0,IF(M9="",0,IF(S9&gt;1,(SUMIF($M7:Z$8,M9,$Z7:Z$8))+(SUMIF($M7:Z$8,M9,$AA7:AA$8)),0)))</f>
        <v>0</v>
      </c>
      <c r="Z9" s="1110">
        <f t="shared" ref="Z9" si="5">IF(E9="B",H9,IF(E9="O",H9,0))</f>
        <v>0</v>
      </c>
      <c r="AA9" s="1111">
        <f t="shared" ref="AA9" si="6">IF(E9="S",H9,0)</f>
        <v>0</v>
      </c>
      <c r="AB9" s="1112">
        <f>DE_BKCDN[[#This Row],[PREVIOUS
UNITS]]+DE_BKCDN[[#This Row],[SHARES
BOUGHT]]+DE_BKCDN[[#This Row],[SHARES 
SOLD]]</f>
        <v>0</v>
      </c>
      <c r="AC9" s="1113">
        <f>IF(S9=1,0,IF(M9="",0,IF(S9&gt;1,SUMIF($M7:AE$8,M9,$AE7:AE$8)+SUMIF($M7:AE$8,M9,$AD7:AD$8),0)))</f>
        <v>0</v>
      </c>
      <c r="AD9" s="1114">
        <f t="shared" ref="AD9" si="7">IF(M9="",0,IF(OR(E9="B",E9="O"),J9*-1,0))</f>
        <v>0</v>
      </c>
      <c r="AE9" s="1115">
        <f t="shared" ref="AE9" si="8">IF(E9="S",(AC9/Y9)*H9,0)</f>
        <v>0</v>
      </c>
      <c r="AF9" s="1116">
        <f t="shared" ref="AF9" si="9">AC9+AD9+AE9</f>
        <v>0</v>
      </c>
      <c r="AG9" s="1117">
        <f t="shared" ref="AG9" si="10">IF(M9="",0,IF(OR(E9="S"),J9*-1,0))</f>
        <v>0</v>
      </c>
      <c r="AH9" s="1115">
        <f>DE_BKCDN[[#This Row],[PROCEEDS]]-DE_BKCDN[[#This Row],[SOLD]]</f>
        <v>0</v>
      </c>
      <c r="AI9" s="1118" t="str">
        <f>IF(AB9=0, IF(AND(OR(E9="B", E9="O"), D9=D7), F9, ""), IF(F7="", F9, IF(D9=D7, AI7, F9)))</f>
        <v/>
      </c>
      <c r="AJ9" s="1119" t="str">
        <f>IF(E9="S", DATEDIF(_xlfn.MAXIFS($F9:F$10, $D9:D$10, D9, $AB9:AB$10, "&gt;0"), F9, "d"), "")</f>
        <v/>
      </c>
      <c r="AK9" s="1118" t="str">
        <f>IF(O9="H",DE_BKCDN[[#This Row],[DATE]],"")</f>
        <v/>
      </c>
      <c r="AL9" s="1120" t="str">
        <f t="shared" ref="AL9:AL40" si="11">IF(O9="","",IF(O9="H",SUMIF($M$8:$Z$93,M9,$Z$8:$Z$93)+SUMIF($M$8:$AA$93,M9,$AA$8:$AA$93)))</f>
        <v/>
      </c>
      <c r="AM9" s="1121">
        <f t="shared" ref="AM9:AM40" si="12">IF(O9="H",SUMIF($M$8:$AF$93,M9,$AD$8:$AD$93)+SUMIF($M$8:$AF$93,M9,$AE$8:$AE$93),0)</f>
        <v>0</v>
      </c>
      <c r="AN9" s="1122">
        <v>0</v>
      </c>
      <c r="AO9" s="1122">
        <f>IFERROR(DE_BKCDN[[#This Row],[MKT]]*DE_BKCDN[[#This Row],[HOLDINGS]],0)</f>
        <v>0</v>
      </c>
      <c r="AP9" s="1123" t="str">
        <f t="shared" ref="AP9" si="13">IF(E9="D",J9," ")</f>
        <v xml:space="preserve"> </v>
      </c>
      <c r="AQ9" s="159" t="s">
        <v>0</v>
      </c>
      <c r="AR9" s="159"/>
      <c r="AT9" s="1069" t="s">
        <v>766</v>
      </c>
      <c r="AU9" s="1070" t="str">
        <f>IFERROR(MATCH(AT9,M_TRX_TYPE[TYPE],0),"")</f>
        <v/>
      </c>
      <c r="AV9" s="1071" t="str" cm="1">
        <f t="array" ref="AV9">IFERROR(INDEX(M_TRX_TYPE[#Data], AU9, MATCH($C$5, M_TRX_TYPE[#Headers], 0)), "")</f>
        <v/>
      </c>
      <c r="AW9" s="1072">
        <f ca="1">SUMIF($E$10:$X$98,AT9,$X$10:$X$98)</f>
        <v>0</v>
      </c>
      <c r="AX9" s="1073">
        <v>0</v>
      </c>
      <c r="AY9" s="1074">
        <f ca="1">FR_U118[[#This Row],[AMOUNT]]</f>
        <v>0</v>
      </c>
      <c r="AZ9" s="1074">
        <v>0</v>
      </c>
      <c r="BA9" s="1075" t="s">
        <v>767</v>
      </c>
      <c r="BB9" s="1076">
        <f>K5</f>
        <v>1.4390000000000001</v>
      </c>
      <c r="BC9" s="1073">
        <f ca="1">FR_U118[[#This Row],[EXCHANGE
RATE]]*FR_U118[[#This Row],[AMOUNT]]</f>
        <v>0</v>
      </c>
    </row>
    <row r="10" spans="1:57" s="179" customFormat="1" ht="15.75" customHeight="1">
      <c r="A10" s="59" t="s">
        <v>1650</v>
      </c>
      <c r="B10" s="616">
        <v>100</v>
      </c>
      <c r="C10" s="194" t="str">
        <f>$C$5</f>
        <v>BK-CDN</v>
      </c>
      <c r="D10" s="183" t="s">
        <v>111</v>
      </c>
      <c r="E10" s="179" t="s">
        <v>229</v>
      </c>
      <c r="F10" s="180">
        <v>45657</v>
      </c>
      <c r="G10" s="1095" t="str">
        <f t="shared" ref="G10:G72" si="14">IF(H10&lt;&gt;0,J10/H10*-1," ")</f>
        <v xml:space="preserve"> </v>
      </c>
      <c r="H10" s="191">
        <v>0</v>
      </c>
      <c r="J10" s="187">
        <v>-2778.58</v>
      </c>
      <c r="K10" s="1095">
        <f>J10</f>
        <v>-2778.58</v>
      </c>
      <c r="L10" s="1100" t="str" cm="1">
        <f t="array" ref="L10">IFERROR(INDEX(M_TRX_TYPE[#Data], U10, MATCH($C$5,M_TRX_TYPE[#Headers], 0)), "")</f>
        <v>1119 Bank Transfer Account</v>
      </c>
      <c r="M10" s="1102" t="str">
        <f t="shared" ref="M10:M70" si="15">IF(OR(E10="O",E10="B",E10="S"),D10,"")</f>
        <v/>
      </c>
      <c r="N10" s="1103">
        <f>IF((O10="H"),(MAX($N$8:N8)+1),0)</f>
        <v>0</v>
      </c>
      <c r="O10" s="1204" t="str">
        <f t="shared" ref="O10:O73" si="16">IF(S10=1,IF((SUMIF($M$8:$M$93,M10,$Z$8:$Z$93)+SUMIF($M$8:$M$93,M10,$AA$8:$AA$93))&gt;0,"H",""),"")</f>
        <v/>
      </c>
      <c r="P10" s="1105">
        <v>0</v>
      </c>
      <c r="Q10" s="1106">
        <f>IF((E10="B"),(MAX($Q$6:Q8)+1),0)</f>
        <v>0</v>
      </c>
      <c r="R10" s="1106">
        <f>IF((AG10&lt;0),(MAX($R8:$R$8)+1),0)</f>
        <v>0</v>
      </c>
      <c r="S10" s="1086">
        <f>IF((M10=""),0,COUNTIF($M$8:M10,M10))</f>
        <v>0</v>
      </c>
      <c r="T10" s="1086" t="str">
        <f>IFERROR(MATCH(M10,M_SYMBOL[SYMBOL],0),"")</f>
        <v/>
      </c>
      <c r="U10" s="1070">
        <f>IFERROR(MATCH(E10,M_TRX_TYPE[TYPE],0),"")</f>
        <v>17</v>
      </c>
      <c r="V10" s="1107">
        <f t="shared" ref="V10:V70" si="17">IF((E10="O"),H10,0)</f>
        <v>0</v>
      </c>
      <c r="W10" s="1095">
        <f t="shared" ref="W10:W70" si="18">IF((E10="O"),J10,IF(E10="OC",J10,0))</f>
        <v>-2778.58</v>
      </c>
      <c r="X10" s="1108">
        <f t="shared" ref="X10:X70" si="19">IF(OR(E10="O",E10="OC"),0,J10*-1)</f>
        <v>0</v>
      </c>
      <c r="Y10" s="1109">
        <f>IF(S10=1,0,IF(M10="",0,IF(S10&gt;1,(SUMIF($M$8:Z8,M10,$Z$8:Z8))+(SUMIF($M$8:Z8,M10,$AA$8:AA8)),0)))</f>
        <v>0</v>
      </c>
      <c r="Z10" s="1110">
        <f t="shared" ref="Z10:Z70" si="20">IF(E10="B",H10,IF(E10="O",H10,0))</f>
        <v>0</v>
      </c>
      <c r="AA10" s="1111">
        <f t="shared" ref="AA10:AA70" si="21">IF(E10="S",H10,0)</f>
        <v>0</v>
      </c>
      <c r="AB10" s="1112">
        <f>DE_BKCDN[[#This Row],[PREVIOUS
UNITS]]+DE_BKCDN[[#This Row],[SHARES
BOUGHT]]+DE_BKCDN[[#This Row],[SHARES 
SOLD]]</f>
        <v>0</v>
      </c>
      <c r="AC10" s="1113">
        <f>IF(S10=1,0,IF(M10="",0,IF(S10&gt;1,SUMIF($M$8:AE8,M10,$AE$8:AE8)+SUMIF($M$8:AE8,M10,$AD$8:AD8),0)))</f>
        <v>0</v>
      </c>
      <c r="AD10" s="1114">
        <f t="shared" ref="AD10:AD70" si="22">IF(M10="",0,IF(OR(E10="B",E10="O"),J10*-1,0))</f>
        <v>0</v>
      </c>
      <c r="AE10" s="1115">
        <f t="shared" ref="AE10:AE70" si="23">IF(E10="S",(AC10/Y10)*H10,0)</f>
        <v>0</v>
      </c>
      <c r="AF10" s="1116">
        <f t="shared" ref="AF10:AF70" si="24">AC10+AD10+AE10</f>
        <v>0</v>
      </c>
      <c r="AG10" s="1117">
        <f t="shared" ref="AG10:AG70" si="25">IF(M10="",0,IF(OR(E10="S"),J10*-1,0))</f>
        <v>0</v>
      </c>
      <c r="AH10" s="1115">
        <f>DE_BKCDN[[#This Row],[PROCEEDS]]-DE_BKCDN[[#This Row],[SOLD]]</f>
        <v>0</v>
      </c>
      <c r="AI10" s="1118" t="str">
        <f>IF(AB10=0, IF(AND(OR(E10="B", E10="O"), D10=D8), F10, ""), IF(F8="", F10, IF(D10=D8, AI8, F10)))</f>
        <v/>
      </c>
      <c r="AJ10" s="1119" t="str">
        <f>IF(E10="S", DATEDIF(_xlfn.MAXIFS($F$10:F10, $D$10:D10, D10, $AB$10:AB10, "&gt;0"), F10, "d"), "")</f>
        <v/>
      </c>
      <c r="AK10" s="1118" t="str">
        <f>IF(O10="H",DE_BKCDN[[#This Row],[DATE]],"")</f>
        <v/>
      </c>
      <c r="AL10" s="1120" t="str">
        <f t="shared" si="11"/>
        <v/>
      </c>
      <c r="AM10" s="1121">
        <f t="shared" si="12"/>
        <v>0</v>
      </c>
      <c r="AN10" s="1122">
        <v>0</v>
      </c>
      <c r="AO10" s="1122">
        <f>IFERROR(DE_BKCDN[[#This Row],[MKT]]*DE_BKCDN[[#This Row],[HOLDINGS]],0)</f>
        <v>0</v>
      </c>
      <c r="AP10" s="1123" t="str">
        <f t="shared" ref="AP10:AP70" si="26">IF(E10="D",J10," ")</f>
        <v xml:space="preserve"> </v>
      </c>
      <c r="AQ10" s="159" t="s">
        <v>0</v>
      </c>
      <c r="AR10" s="159"/>
      <c r="AT10" s="1077" t="s">
        <v>23</v>
      </c>
      <c r="AU10" s="1070">
        <f>IFERROR(MATCH(AT10,M_TRX_TYPE[TYPE],0),"")</f>
        <v>13</v>
      </c>
      <c r="AV10" s="1071" t="str" cm="1">
        <f t="array" ref="AV10">IFERROR(INDEX(M_TRX_TYPE[#Data], AU10, MATCH($C$5, M_TRX_TYPE[#Headers], 0)), "")</f>
        <v>1119 Bank Transfer Account</v>
      </c>
      <c r="AW10" s="1078">
        <v>0</v>
      </c>
      <c r="AX10" s="1072">
        <f ca="1">SUMIF($E$10:$AO$98,AT10,$J$10:$J$98)*-1</f>
        <v>22661.040000000001</v>
      </c>
      <c r="AY10" s="1079">
        <f>$J$5</f>
        <v>93828.66</v>
      </c>
      <c r="AZ10" s="1080">
        <f ca="1">FR_U118[[#This Row],[TOTAL
MKT PY/CY]]-FR_U118[[#This Row],[SECURITIES]]</f>
        <v>71167.62</v>
      </c>
      <c r="BA10" s="1075" t="s">
        <v>767</v>
      </c>
      <c r="BB10" s="1081">
        <f>K5</f>
        <v>1.4390000000000001</v>
      </c>
      <c r="BC10" s="1073">
        <f>FR_U118[[#This Row],[EXCHANGE
RATE]]*FR_U118[[#This Row],[TOTAL
MKT PY/CY]]</f>
        <v>135019.44174000001</v>
      </c>
    </row>
    <row r="11" spans="1:57" s="179" customFormat="1" ht="15.75" customHeight="1">
      <c r="A11" s="177"/>
      <c r="B11" s="622">
        <v>101</v>
      </c>
      <c r="C11" s="194" t="str">
        <f t="shared" ref="C11:C74" si="27">$C$5</f>
        <v>BK-CDN</v>
      </c>
      <c r="D11" s="183" t="s">
        <v>942</v>
      </c>
      <c r="E11" s="179" t="s">
        <v>23</v>
      </c>
      <c r="F11" s="180">
        <v>45401</v>
      </c>
      <c r="G11" s="1096">
        <f t="shared" si="14"/>
        <v>70.372714285714281</v>
      </c>
      <c r="H11" s="192">
        <v>70</v>
      </c>
      <c r="I11" s="186"/>
      <c r="J11" s="193">
        <v>-4926.09</v>
      </c>
      <c r="K11" s="1095">
        <f t="shared" ref="K11:K71" si="28">IF((E11="O"),K10,(K10+J11))</f>
        <v>-2778.58</v>
      </c>
      <c r="L11" s="1100" t="str" cm="1">
        <f t="array" ref="L11">IFERROR(INDEX(M_TRX_TYPE[#Data], U11, MATCH($C$5,M_TRX_TYPE[#Headers], 0)), "")</f>
        <v>1119 Bank Transfer Account</v>
      </c>
      <c r="M11" s="1102" t="str">
        <f t="shared" si="15"/>
        <v>GRT.UN</v>
      </c>
      <c r="N11" s="1103">
        <f>IF((O11="H"),(MAX($N$8:N10)+1),0)</f>
        <v>0</v>
      </c>
      <c r="O11" s="1204" t="str">
        <f t="shared" si="16"/>
        <v/>
      </c>
      <c r="P11" s="1105" cm="1">
        <f t="array" ref="P11">MAX(IF($D$10:$D$84=D11, $S$10:$S$84))</f>
        <v>2</v>
      </c>
      <c r="Q11" s="1106">
        <f>IF((E11="B"),(MAX($Q$6:Q10)+1),0)</f>
        <v>0</v>
      </c>
      <c r="R11" s="1106">
        <f>IF((AG11&lt;0),(MAX($R$8:$R10)+1),0)</f>
        <v>0</v>
      </c>
      <c r="S11" s="1086">
        <f>IF((M11=""),0,COUNTIF($M$8:M11,M11))</f>
        <v>1</v>
      </c>
      <c r="T11" s="1086">
        <f>IFERROR(MATCH(M11,M_SYMBOL[SYMBOL],0),"")</f>
        <v>110</v>
      </c>
      <c r="U11" s="1070">
        <f>IFERROR(MATCH(E11,M_TRX_TYPE[TYPE],0),"")</f>
        <v>13</v>
      </c>
      <c r="V11" s="1107">
        <f t="shared" si="17"/>
        <v>70</v>
      </c>
      <c r="W11" s="1095">
        <f t="shared" si="18"/>
        <v>-4926.09</v>
      </c>
      <c r="X11" s="1108">
        <f t="shared" si="19"/>
        <v>0</v>
      </c>
      <c r="Y11" s="1109">
        <f>IF(S11=1,0,IF(M11="",0,IF(S11&gt;1,(SUMIF($M$8:Z10,M11,$Z$8:Z10))+(SUMIF($M$8:Z10,M11,$AA$8:AA10)),0)))</f>
        <v>0</v>
      </c>
      <c r="Z11" s="1110">
        <f t="shared" si="20"/>
        <v>70</v>
      </c>
      <c r="AA11" s="1111">
        <f t="shared" si="21"/>
        <v>0</v>
      </c>
      <c r="AB11" s="1112">
        <f>DE_BKCDN[[#This Row],[PREVIOUS
UNITS]]+DE_BKCDN[[#This Row],[SHARES
BOUGHT]]+DE_BKCDN[[#This Row],[SHARES 
SOLD]]</f>
        <v>70</v>
      </c>
      <c r="AC11" s="1113">
        <f>IF(S11=1,0,IF(M11="",0,IF(S11&gt;1,SUMIF($M$8:AE10,M11,$AE$8:AE10)+SUMIF($M$8:AE10,M11,$AD$8:AD10),0)))</f>
        <v>0</v>
      </c>
      <c r="AD11" s="1114">
        <f t="shared" si="22"/>
        <v>4926.09</v>
      </c>
      <c r="AE11" s="1115">
        <f t="shared" si="23"/>
        <v>0</v>
      </c>
      <c r="AF11" s="1116">
        <f t="shared" si="24"/>
        <v>4926.09</v>
      </c>
      <c r="AG11" s="1117">
        <f t="shared" si="25"/>
        <v>0</v>
      </c>
      <c r="AH11" s="1115">
        <f>DE_BKCDN[[#This Row],[PROCEEDS]]-DE_BKCDN[[#This Row],[SOLD]]</f>
        <v>0</v>
      </c>
      <c r="AI11" s="1118">
        <f t="shared" ref="AI11:AI70" si="29">IF(AB11=0, IF(AND(OR(E11="B", E11="O"), D11=D10), F11, ""), IF(F10="", F11, IF(D11=D10, AI10, F11)))</f>
        <v>45401</v>
      </c>
      <c r="AJ11" s="1119" t="str">
        <f>IF(E11="S", DATEDIF(_xlfn.MAXIFS($F$10:F11, $D$10:D11, D11, $AB$10:AB11, "&gt;0"), F11, "d"), "")</f>
        <v/>
      </c>
      <c r="AK11" s="1118" t="str">
        <f>IF(O11="H",DE_BKCDN[[#This Row],[DATE]],"")</f>
        <v/>
      </c>
      <c r="AL11" s="1120" t="str">
        <f t="shared" si="11"/>
        <v/>
      </c>
      <c r="AM11" s="1121">
        <f t="shared" si="12"/>
        <v>0</v>
      </c>
      <c r="AN11" s="1122">
        <v>0</v>
      </c>
      <c r="AO11" s="1122">
        <f>IFERROR(DE_BKCDN[[#This Row],[MKT]]*DE_BKCDN[[#This Row],[HOLDINGS]],0)</f>
        <v>0</v>
      </c>
      <c r="AP11" s="1123" t="str">
        <f t="shared" si="26"/>
        <v xml:space="preserve"> </v>
      </c>
      <c r="AQ11" s="159" t="s">
        <v>0</v>
      </c>
      <c r="AR11" s="159"/>
      <c r="AT11" s="1082" t="s">
        <v>770</v>
      </c>
      <c r="AU11" s="1082" t="s">
        <v>28</v>
      </c>
      <c r="AV11" s="1082" t="s">
        <v>0</v>
      </c>
      <c r="AW11" s="1083">
        <f ca="1">AW10+AW9</f>
        <v>0</v>
      </c>
      <c r="AX11" s="1083">
        <f ca="1">AX10+AX9</f>
        <v>22661.040000000001</v>
      </c>
      <c r="AY11" s="1083">
        <f ca="1">AY10+AY9</f>
        <v>93828.66</v>
      </c>
      <c r="AZ11" s="1084"/>
      <c r="BA11" s="1085"/>
      <c r="BB11" s="1085">
        <f ca="1">FR_U118[[#This Row],[CDN $]]-FR_U118[[#This Row],[SECURITIES]]</f>
        <v>112358.40174</v>
      </c>
      <c r="BC11" s="1083">
        <f ca="1">BC10+BC9</f>
        <v>135019.44174000001</v>
      </c>
    </row>
    <row r="12" spans="1:57" s="179" customFormat="1" ht="15.75" customHeight="1">
      <c r="A12" s="177"/>
      <c r="B12" s="624">
        <v>102</v>
      </c>
      <c r="C12" s="194" t="str">
        <f t="shared" si="27"/>
        <v>BK-CDN</v>
      </c>
      <c r="D12" s="183" t="s">
        <v>810</v>
      </c>
      <c r="E12" s="179" t="s">
        <v>23</v>
      </c>
      <c r="F12" s="180">
        <v>45630</v>
      </c>
      <c r="G12" s="1096">
        <f t="shared" si="14"/>
        <v>118.01860000000001</v>
      </c>
      <c r="H12" s="182">
        <v>100</v>
      </c>
      <c r="I12" s="183"/>
      <c r="J12" s="184">
        <v>-11801.86</v>
      </c>
      <c r="K12" s="1095">
        <f t="shared" si="28"/>
        <v>-2778.58</v>
      </c>
      <c r="L12" s="1100" t="str" cm="1">
        <f t="array" ref="L12">IFERROR(INDEX(M_TRX_TYPE[#Data], U12, MATCH($C$5,M_TRX_TYPE[#Headers], 0)), "")</f>
        <v>1119 Bank Transfer Account</v>
      </c>
      <c r="M12" s="1102" t="str">
        <f t="shared" si="15"/>
        <v>JCI</v>
      </c>
      <c r="N12" s="1103">
        <f>IF((O12="H"),(MAX($N$8:N11)+1),0)</f>
        <v>0</v>
      </c>
      <c r="O12" s="1204" t="str">
        <f t="shared" si="16"/>
        <v/>
      </c>
      <c r="P12" s="1105" cm="1">
        <f t="array" ref="P12">MAX(IF($D$10:$D$84=D12, $S$10:$S$84))</f>
        <v>2</v>
      </c>
      <c r="Q12" s="1106">
        <f>IF((E12="B"),(MAX($Q$6:Q11)+1),0)</f>
        <v>0</v>
      </c>
      <c r="R12" s="1106">
        <f>IF((AG12&lt;0),(MAX($R$8:$R11)+1),0)</f>
        <v>0</v>
      </c>
      <c r="S12" s="1086">
        <f>IF((M12=""),0,COUNTIF($M$8:M12,M12))</f>
        <v>1</v>
      </c>
      <c r="T12" s="1086">
        <f>IFERROR(MATCH(M12,M_SYMBOL[SYMBOL],0),"")</f>
        <v>135</v>
      </c>
      <c r="U12" s="1070">
        <f>IFERROR(MATCH(E12,M_TRX_TYPE[TYPE],0),"")</f>
        <v>13</v>
      </c>
      <c r="V12" s="1107">
        <f t="shared" si="17"/>
        <v>100</v>
      </c>
      <c r="W12" s="1095">
        <f t="shared" si="18"/>
        <v>-11801.86</v>
      </c>
      <c r="X12" s="1108">
        <f t="shared" si="19"/>
        <v>0</v>
      </c>
      <c r="Y12" s="1109">
        <f>IF(S12=1,0,IF(M12="",0,IF(S12&gt;1,(SUMIF($M$8:Z11,M12,$Z$8:Z11))+(SUMIF($M$8:Z11,M12,$AA$8:AA11)),0)))</f>
        <v>0</v>
      </c>
      <c r="Z12" s="1110">
        <f t="shared" si="20"/>
        <v>100</v>
      </c>
      <c r="AA12" s="1111">
        <f t="shared" si="21"/>
        <v>0</v>
      </c>
      <c r="AB12" s="1112">
        <f>DE_BKCDN[[#This Row],[PREVIOUS
UNITS]]+DE_BKCDN[[#This Row],[SHARES
BOUGHT]]+DE_BKCDN[[#This Row],[SHARES 
SOLD]]</f>
        <v>100</v>
      </c>
      <c r="AC12" s="1113">
        <f>IF(S12=1,0,IF(M12="",0,IF(S12&gt;1,SUMIF($M$8:AE11,M12,$AE$8:AE11)+SUMIF($M$8:AE11,M12,$AD$8:AD11),0)))</f>
        <v>0</v>
      </c>
      <c r="AD12" s="1114">
        <f t="shared" si="22"/>
        <v>11801.86</v>
      </c>
      <c r="AE12" s="1115">
        <f t="shared" si="23"/>
        <v>0</v>
      </c>
      <c r="AF12" s="1116">
        <f t="shared" si="24"/>
        <v>11801.86</v>
      </c>
      <c r="AG12" s="1117">
        <f t="shared" si="25"/>
        <v>0</v>
      </c>
      <c r="AH12" s="1115">
        <f>DE_BKCDN[[#This Row],[PROCEEDS]]-DE_BKCDN[[#This Row],[SOLD]]</f>
        <v>0</v>
      </c>
      <c r="AI12" s="1118">
        <f t="shared" si="29"/>
        <v>45630</v>
      </c>
      <c r="AJ12" s="1119" t="str">
        <f>IF(E12="S", DATEDIF(_xlfn.MAXIFS($F$10:F12, $D$10:D12, D12, $AB$10:AB12, "&gt;0"), F12, "d"), "")</f>
        <v/>
      </c>
      <c r="AK12" s="1118" t="str">
        <f>IF(O12="H",DE_BKCDN[[#This Row],[DATE]],"")</f>
        <v/>
      </c>
      <c r="AL12" s="1120" t="str">
        <f t="shared" si="11"/>
        <v/>
      </c>
      <c r="AM12" s="1121">
        <f t="shared" si="12"/>
        <v>0</v>
      </c>
      <c r="AN12" s="1122">
        <v>0</v>
      </c>
      <c r="AO12" s="1122">
        <f>IFERROR(DE_BKCDN[[#This Row],[MKT]]*DE_BKCDN[[#This Row],[HOLDINGS]],0)</f>
        <v>0</v>
      </c>
      <c r="AP12" s="1123" t="str">
        <f t="shared" si="26"/>
        <v xml:space="preserve"> </v>
      </c>
      <c r="AQ12" s="159" t="s">
        <v>0</v>
      </c>
      <c r="AR12" s="159"/>
      <c r="AT12" s="1086"/>
      <c r="AU12" s="1082" t="s">
        <v>28</v>
      </c>
      <c r="AV12" s="1082" t="s">
        <v>0</v>
      </c>
      <c r="AW12" s="1087"/>
      <c r="AX12" s="1073"/>
      <c r="AY12" s="1074"/>
      <c r="AZ12" s="1074"/>
      <c r="BA12" s="1081"/>
      <c r="BB12" s="1081"/>
      <c r="BC12" s="1073"/>
      <c r="BE12" s="185"/>
    </row>
    <row r="13" spans="1:57" s="179" customFormat="1" ht="15.75" customHeight="1">
      <c r="A13" s="177"/>
      <c r="B13" s="624">
        <v>103</v>
      </c>
      <c r="C13" s="194" t="str">
        <f t="shared" si="27"/>
        <v>BK-CDN</v>
      </c>
      <c r="D13" s="183" t="s">
        <v>955</v>
      </c>
      <c r="E13" s="179" t="s">
        <v>23</v>
      </c>
      <c r="F13" s="180">
        <v>45649</v>
      </c>
      <c r="G13" s="1096">
        <f t="shared" si="14"/>
        <v>50.602499999999999</v>
      </c>
      <c r="H13" s="182">
        <v>100</v>
      </c>
      <c r="I13" s="183"/>
      <c r="J13" s="184">
        <v>-5060.25</v>
      </c>
      <c r="K13" s="1095">
        <f t="shared" si="28"/>
        <v>-2778.58</v>
      </c>
      <c r="L13" s="1100" t="str" cm="1">
        <f t="array" ref="L13">IFERROR(INDEX(M_TRX_TYPE[#Data], U13, MATCH($C$5,M_TRX_TYPE[#Headers], 0)), "")</f>
        <v>1119 Bank Transfer Account</v>
      </c>
      <c r="M13" s="1102" t="str">
        <f t="shared" si="15"/>
        <v>XFN</v>
      </c>
      <c r="N13" s="1103">
        <f>IF((O13="H"),(MAX($N$8:N12)+1),0)</f>
        <v>1</v>
      </c>
      <c r="O13" s="1204" t="str">
        <f t="shared" si="16"/>
        <v>H</v>
      </c>
      <c r="P13" s="1105" cm="1">
        <f t="array" ref="P13">MAX(IF($D$10:$D$84=D13, $S$10:$S$84))</f>
        <v>1</v>
      </c>
      <c r="Q13" s="1106">
        <f>IF((E13="B"),(MAX($Q$6:Q12)+1),0)</f>
        <v>0</v>
      </c>
      <c r="R13" s="1106">
        <f>IF((AG13&lt;0),(MAX($R$8:$R12)+1),0)</f>
        <v>0</v>
      </c>
      <c r="S13" s="1086">
        <f>IF((M13=""),0,COUNTIF($M$8:M13,M13))</f>
        <v>1</v>
      </c>
      <c r="T13" s="1086">
        <f>IFERROR(MATCH(M13,M_SYMBOL[SYMBOL],0),"")</f>
        <v>126</v>
      </c>
      <c r="U13" s="1070">
        <f>IFERROR(MATCH(E13,M_TRX_TYPE[TYPE],0),"")</f>
        <v>13</v>
      </c>
      <c r="V13" s="1107">
        <f t="shared" si="17"/>
        <v>100</v>
      </c>
      <c r="W13" s="1095">
        <f t="shared" si="18"/>
        <v>-5060.25</v>
      </c>
      <c r="X13" s="1108">
        <f t="shared" si="19"/>
        <v>0</v>
      </c>
      <c r="Y13" s="1109">
        <f>IF(S13=1,0,IF(M13="",0,IF(S13&gt;1,(SUMIF($M$8:Z12,M13,$Z$8:Z12))+(SUMIF($M$8:Z12,M13,$AA$8:AA12)),0)))</f>
        <v>0</v>
      </c>
      <c r="Z13" s="1110">
        <f t="shared" si="20"/>
        <v>100</v>
      </c>
      <c r="AA13" s="1111">
        <f t="shared" si="21"/>
        <v>0</v>
      </c>
      <c r="AB13" s="1112">
        <f>DE_BKCDN[[#This Row],[PREVIOUS
UNITS]]+DE_BKCDN[[#This Row],[SHARES
BOUGHT]]+DE_BKCDN[[#This Row],[SHARES 
SOLD]]</f>
        <v>100</v>
      </c>
      <c r="AC13" s="1113">
        <f>IF(S13=1,0,IF(M13="",0,IF(S13&gt;1,SUMIF($M$8:AE12,M13,$AE$8:AE12)+SUMIF($M$8:AE12,M13,$AD$8:AD12),0)))</f>
        <v>0</v>
      </c>
      <c r="AD13" s="1114">
        <f t="shared" si="22"/>
        <v>5060.25</v>
      </c>
      <c r="AE13" s="1115">
        <f t="shared" si="23"/>
        <v>0</v>
      </c>
      <c r="AF13" s="1116">
        <f t="shared" si="24"/>
        <v>5060.25</v>
      </c>
      <c r="AG13" s="1117">
        <f t="shared" si="25"/>
        <v>0</v>
      </c>
      <c r="AH13" s="1115">
        <f>DE_BKCDN[[#This Row],[PROCEEDS]]-DE_BKCDN[[#This Row],[SOLD]]</f>
        <v>0</v>
      </c>
      <c r="AI13" s="1118">
        <f t="shared" si="29"/>
        <v>45649</v>
      </c>
      <c r="AJ13" s="1119" t="str">
        <f>IF(E13="S", DATEDIF(_xlfn.MAXIFS($F$10:F13, $D$10:D13, D13, $AB$10:AB13, "&gt;0"), F13, "d"), "")</f>
        <v/>
      </c>
      <c r="AK13" s="1118">
        <f>IF(O13="H",DE_BKCDN[[#This Row],[DATE]],"")</f>
        <v>45649</v>
      </c>
      <c r="AL13" s="1120">
        <f t="shared" ca="1" si="11"/>
        <v>100</v>
      </c>
      <c r="AM13" s="1121">
        <f t="shared" ca="1" si="12"/>
        <v>5060.25</v>
      </c>
      <c r="AN13" s="1122">
        <v>0</v>
      </c>
      <c r="AO13" s="1122">
        <f ca="1">IFERROR(DE_BKCDN[[#This Row],[MKT]]*DE_BKCDN[[#This Row],[HOLDINGS]],0)</f>
        <v>0</v>
      </c>
      <c r="AP13" s="1123" t="str">
        <f t="shared" si="26"/>
        <v xml:space="preserve"> </v>
      </c>
      <c r="AQ13" s="159" t="s">
        <v>0</v>
      </c>
      <c r="AR13" s="159"/>
      <c r="AT13" s="1082" t="s">
        <v>772</v>
      </c>
      <c r="AU13" s="1082" t="s">
        <v>28</v>
      </c>
      <c r="AV13" s="1082" t="s">
        <v>0</v>
      </c>
      <c r="AW13" s="1087"/>
      <c r="AX13" s="1073"/>
      <c r="AY13" s="1074"/>
      <c r="AZ13" s="1074"/>
      <c r="BA13" s="1081"/>
      <c r="BB13" s="1081"/>
      <c r="BC13" s="1073"/>
      <c r="BE13" s="185"/>
    </row>
    <row r="14" spans="1:57" s="179" customFormat="1" ht="15.75" customHeight="1">
      <c r="A14" s="177"/>
      <c r="B14" s="624">
        <v>104</v>
      </c>
      <c r="C14" s="194" t="str">
        <f t="shared" si="27"/>
        <v>BK-CDN</v>
      </c>
      <c r="D14" s="183" t="s">
        <v>965</v>
      </c>
      <c r="E14" s="179" t="s">
        <v>23</v>
      </c>
      <c r="F14" s="180">
        <v>45649</v>
      </c>
      <c r="G14" s="1096">
        <f t="shared" si="14"/>
        <v>23.745000000000001</v>
      </c>
      <c r="H14" s="182">
        <v>4</v>
      </c>
      <c r="I14" s="183"/>
      <c r="J14" s="184">
        <v>-94.98</v>
      </c>
      <c r="K14" s="1095">
        <f t="shared" si="28"/>
        <v>-2778.58</v>
      </c>
      <c r="L14" s="1100" t="str" cm="1">
        <f t="array" ref="L14">IFERROR(INDEX(M_TRX_TYPE[#Data], U14, MATCH($C$5,M_TRX_TYPE[#Headers], 0)), "")</f>
        <v>1119 Bank Transfer Account</v>
      </c>
      <c r="M14" s="1102" t="str">
        <f t="shared" si="15"/>
        <v>MFC</v>
      </c>
      <c r="N14" s="1103">
        <f>IF((O14="H"),(MAX($N$8:N13)+1),0)</f>
        <v>0</v>
      </c>
      <c r="O14" s="1204" t="str">
        <f t="shared" si="16"/>
        <v/>
      </c>
      <c r="P14" s="1105" cm="1">
        <f t="array" ref="P14">MAX(IF($D$10:$D$84=D14, $S$10:$S$84))</f>
        <v>2</v>
      </c>
      <c r="Q14" s="1106">
        <f>IF((E14="B"),(MAX($Q$6:Q13)+1),0)</f>
        <v>0</v>
      </c>
      <c r="R14" s="1106">
        <f>IF((AG14&lt;0),(MAX($R$8:$R13)+1),0)</f>
        <v>0</v>
      </c>
      <c r="S14" s="1086">
        <f>IF((M14=""),0,COUNTIF($M$8:M14,M14))</f>
        <v>1</v>
      </c>
      <c r="T14" s="1086">
        <f>IFERROR(MATCH(M14,M_SYMBOL[SYMBOL],0),"")</f>
        <v>144</v>
      </c>
      <c r="U14" s="1070">
        <f>IFERROR(MATCH(E14,M_TRX_TYPE[TYPE],0),"")</f>
        <v>13</v>
      </c>
      <c r="V14" s="1107">
        <f t="shared" si="17"/>
        <v>4</v>
      </c>
      <c r="W14" s="1095">
        <f t="shared" si="18"/>
        <v>-94.98</v>
      </c>
      <c r="X14" s="1108">
        <f t="shared" si="19"/>
        <v>0</v>
      </c>
      <c r="Y14" s="1109">
        <f>IF(S14=1,0,IF(M14="",0,IF(S14&gt;1,(SUMIF($M$8:Z13,M14,$Z$8:Z13))+(SUMIF($M$8:Z13,M14,$AA$8:AA13)),0)))</f>
        <v>0</v>
      </c>
      <c r="Z14" s="1110">
        <f t="shared" si="20"/>
        <v>4</v>
      </c>
      <c r="AA14" s="1111">
        <f t="shared" si="21"/>
        <v>0</v>
      </c>
      <c r="AB14" s="1112">
        <f>DE_BKCDN[[#This Row],[PREVIOUS
UNITS]]+DE_BKCDN[[#This Row],[SHARES
BOUGHT]]+DE_BKCDN[[#This Row],[SHARES 
SOLD]]</f>
        <v>4</v>
      </c>
      <c r="AC14" s="1113">
        <f>IF(S14=1,0,IF(M14="",0,IF(S14&gt;1,SUMIF($M$8:AE13,M14,$AE$8:AE13)+SUMIF($M$8:AE13,M14,$AD$8:AD13),0)))</f>
        <v>0</v>
      </c>
      <c r="AD14" s="1114">
        <f t="shared" si="22"/>
        <v>94.98</v>
      </c>
      <c r="AE14" s="1115">
        <f t="shared" si="23"/>
        <v>0</v>
      </c>
      <c r="AF14" s="1116">
        <f t="shared" si="24"/>
        <v>94.98</v>
      </c>
      <c r="AG14" s="1117">
        <f t="shared" si="25"/>
        <v>0</v>
      </c>
      <c r="AH14" s="1115">
        <f>DE_BKCDN[[#This Row],[PROCEEDS]]-DE_BKCDN[[#This Row],[SOLD]]</f>
        <v>0</v>
      </c>
      <c r="AI14" s="1118">
        <f t="shared" si="29"/>
        <v>45649</v>
      </c>
      <c r="AJ14" s="1119" t="str">
        <f>IF(E14="S", DATEDIF(_xlfn.MAXIFS($F$10:F14, $D$10:D14, D14, $AB$10:AB14, "&gt;0"), F14, "d"), "")</f>
        <v/>
      </c>
      <c r="AK14" s="1118" t="str">
        <f>IF(O14="H",DE_BKCDN[[#This Row],[DATE]],"")</f>
        <v/>
      </c>
      <c r="AL14" s="1120" t="str">
        <f t="shared" si="11"/>
        <v/>
      </c>
      <c r="AM14" s="1121">
        <f t="shared" si="12"/>
        <v>0</v>
      </c>
      <c r="AN14" s="1122">
        <v>0</v>
      </c>
      <c r="AO14" s="1122">
        <f>IFERROR(DE_BKCDN[[#This Row],[MKT]]*DE_BKCDN[[#This Row],[HOLDINGS]],0)</f>
        <v>0</v>
      </c>
      <c r="AP14" s="1123" t="str">
        <f t="shared" si="26"/>
        <v xml:space="preserve"> </v>
      </c>
      <c r="AQ14" s="159" t="s">
        <v>0</v>
      </c>
      <c r="AR14" s="159"/>
      <c r="AT14" s="1086" t="s">
        <v>3</v>
      </c>
      <c r="AU14" s="1070">
        <f>IFERROR(MATCH(AT14,M_TRX_TYPE[TYPE],0),"")</f>
        <v>3</v>
      </c>
      <c r="AV14" s="1071" t="str" cm="1">
        <f t="array" ref="AV14">IFERROR(INDEX(M_TRX_TYPE[#Data], AU14, MATCH($C$5, M_TRX_TYPE[#Headers], 0)), "")</f>
        <v>1131 Broker CDN Securities</v>
      </c>
      <c r="AW14" s="1087">
        <f t="shared" ref="AW14:AW19" ca="1" si="30">SUMIF($E$10:$X$98,AT14,$X$10:$X$98)*-1</f>
        <v>-112918.72000000002</v>
      </c>
      <c r="AX14" s="1073">
        <f ca="1">SUMIF($E$10:$X$98,AT14,$X$10:$X$98)</f>
        <v>112918.72000000002</v>
      </c>
      <c r="AY14" s="1074"/>
      <c r="AZ14" s="1074" t="s">
        <v>0</v>
      </c>
      <c r="BA14" s="1081" t="s">
        <v>774</v>
      </c>
      <c r="BB14" s="1081">
        <f t="shared" ref="BB14:BB27" si="31">IF($E$5="US$",(1.4396+$BB$30)/2,1)</f>
        <v>1</v>
      </c>
      <c r="BC14" s="1073">
        <f ca="1">FR_U118[[#This Row],[AMOUNT]]*BB14</f>
        <v>-112918.72000000002</v>
      </c>
    </row>
    <row r="15" spans="1:57" s="179" customFormat="1" ht="15.75" customHeight="1">
      <c r="A15" s="177"/>
      <c r="B15" s="624">
        <v>105</v>
      </c>
      <c r="C15" s="194" t="str">
        <f t="shared" si="27"/>
        <v>BK-CDN</v>
      </c>
      <c r="D15" s="183" t="s">
        <v>1009</v>
      </c>
      <c r="E15" s="179" t="s">
        <v>23</v>
      </c>
      <c r="F15" s="180">
        <v>45649</v>
      </c>
      <c r="G15" s="1096">
        <f t="shared" si="14"/>
        <v>7.9373469387755105</v>
      </c>
      <c r="H15" s="182">
        <v>98</v>
      </c>
      <c r="I15" s="183"/>
      <c r="J15" s="184">
        <v>-777.86</v>
      </c>
      <c r="K15" s="1095">
        <f t="shared" si="28"/>
        <v>-2778.58</v>
      </c>
      <c r="L15" s="1100" t="str" cm="1">
        <f t="array" ref="L15">IFERROR(INDEX(M_TRX_TYPE[#Data], U15, MATCH($C$5,M_TRX_TYPE[#Headers], 0)), "")</f>
        <v>1119 Bank Transfer Account</v>
      </c>
      <c r="M15" s="1102" t="str">
        <f t="shared" si="15"/>
        <v>VRN</v>
      </c>
      <c r="N15" s="1103">
        <f>IF((O15="H"),(MAX($N$8:N14)+1),0)</f>
        <v>0</v>
      </c>
      <c r="O15" s="1204" t="str">
        <f t="shared" si="16"/>
        <v/>
      </c>
      <c r="P15" s="1105" cm="1">
        <f t="array" ref="P15">MAX(IF($D$10:$D$84=D15, $S$10:$S$84))</f>
        <v>3</v>
      </c>
      <c r="Q15" s="1106">
        <f>IF((E15="B"),(MAX($Q$6:Q14)+1),0)</f>
        <v>0</v>
      </c>
      <c r="R15" s="1106">
        <f>IF((AG15&lt;0),(MAX($R$8:$R14)+1),0)</f>
        <v>0</v>
      </c>
      <c r="S15" s="1086">
        <f>IF((M15=""),0,COUNTIF($M$8:M15,M15))</f>
        <v>1</v>
      </c>
      <c r="T15" s="1086">
        <f>IFERROR(MATCH(M15,M_SYMBOL[SYMBOL],0),"")</f>
        <v>212</v>
      </c>
      <c r="U15" s="1070">
        <f>IFERROR(MATCH(E15,M_TRX_TYPE[TYPE],0),"")</f>
        <v>13</v>
      </c>
      <c r="V15" s="1107">
        <f t="shared" si="17"/>
        <v>98</v>
      </c>
      <c r="W15" s="1095">
        <f t="shared" si="18"/>
        <v>-777.86</v>
      </c>
      <c r="X15" s="1108">
        <f t="shared" si="19"/>
        <v>0</v>
      </c>
      <c r="Y15" s="1109">
        <f>IF(S15=1,0,IF(M15="",0,IF(S15&gt;1,(SUMIF($M$8:Z14,M15,$Z$8:Z14))+(SUMIF($M$8:Z14,M15,$AA$8:AA14)),0)))</f>
        <v>0</v>
      </c>
      <c r="Z15" s="1110">
        <f t="shared" si="20"/>
        <v>98</v>
      </c>
      <c r="AA15" s="1111">
        <f t="shared" si="21"/>
        <v>0</v>
      </c>
      <c r="AB15" s="1112">
        <f>DE_BKCDN[[#This Row],[PREVIOUS
UNITS]]+DE_BKCDN[[#This Row],[SHARES
BOUGHT]]+DE_BKCDN[[#This Row],[SHARES 
SOLD]]</f>
        <v>98</v>
      </c>
      <c r="AC15" s="1113">
        <f>IF(S15=1,0,IF(M15="",0,IF(S15&gt;1,SUMIF($M$8:AE14,M15,$AE$8:AE14)+SUMIF($M$8:AE14,M15,$AD$8:AD14),0)))</f>
        <v>0</v>
      </c>
      <c r="AD15" s="1114">
        <f t="shared" si="22"/>
        <v>777.86</v>
      </c>
      <c r="AE15" s="1115">
        <f t="shared" si="23"/>
        <v>0</v>
      </c>
      <c r="AF15" s="1116">
        <f t="shared" si="24"/>
        <v>777.86</v>
      </c>
      <c r="AG15" s="1117">
        <f t="shared" si="25"/>
        <v>0</v>
      </c>
      <c r="AH15" s="1115">
        <f>DE_BKCDN[[#This Row],[PROCEEDS]]-DE_BKCDN[[#This Row],[SOLD]]</f>
        <v>0</v>
      </c>
      <c r="AI15" s="1118">
        <f t="shared" si="29"/>
        <v>45649</v>
      </c>
      <c r="AJ15" s="1119" t="str">
        <f>IF(E15="S", DATEDIF(_xlfn.MAXIFS($F$10:F15, $D$10:D15, D15, $AB$10:AB15, "&gt;0"), F15, "d"), "")</f>
        <v/>
      </c>
      <c r="AK15" s="1118" t="str">
        <f>IF(O15="H",DE_BKCDN[[#This Row],[DATE]],"")</f>
        <v/>
      </c>
      <c r="AL15" s="1120" t="str">
        <f t="shared" si="11"/>
        <v/>
      </c>
      <c r="AM15" s="1121">
        <f t="shared" si="12"/>
        <v>0</v>
      </c>
      <c r="AN15" s="1122">
        <v>0</v>
      </c>
      <c r="AO15" s="1122">
        <f>IFERROR(DE_BKCDN[[#This Row],[MKT]]*DE_BKCDN[[#This Row],[HOLDINGS]],0)</f>
        <v>0</v>
      </c>
      <c r="AP15" s="1123" t="str">
        <f t="shared" si="26"/>
        <v xml:space="preserve"> </v>
      </c>
      <c r="AQ15" s="159" t="s">
        <v>0</v>
      </c>
      <c r="AR15" s="159"/>
      <c r="AT15" s="1086" t="s">
        <v>4</v>
      </c>
      <c r="AU15" s="1070">
        <f>IFERROR(MATCH(AT15,M_TRX_TYPE[TYPE],0),"")</f>
        <v>4</v>
      </c>
      <c r="AV15" s="1071" t="str" cm="1">
        <f t="array" ref="AV15">IFERROR(INDEX(M_TRX_TYPE[#Data], AU15, MATCH($C$5, M_TRX_TYPE[#Headers], 0)), "")</f>
        <v xml:space="preserve">4023 Sale of CDN Securities </v>
      </c>
      <c r="AW15" s="1087">
        <f t="shared" ca="1" si="30"/>
        <v>109486.56000000001</v>
      </c>
      <c r="AX15" s="1073">
        <v>0</v>
      </c>
      <c r="AY15" s="1074"/>
      <c r="AZ15" s="1074" t="s">
        <v>0</v>
      </c>
      <c r="BA15" s="1081" t="s">
        <v>774</v>
      </c>
      <c r="BB15" s="1081">
        <f t="shared" si="31"/>
        <v>1</v>
      </c>
      <c r="BC15" s="1073">
        <f ca="1">FR_U118[[#This Row],[AMOUNT]]*BB15</f>
        <v>109486.56000000001</v>
      </c>
    </row>
    <row r="16" spans="1:57" s="179" customFormat="1" ht="15.75" customHeight="1">
      <c r="A16" s="177"/>
      <c r="B16" s="624">
        <v>106</v>
      </c>
      <c r="C16" s="194" t="str">
        <f t="shared" si="27"/>
        <v>BK-CDN</v>
      </c>
      <c r="D16" s="183" t="s">
        <v>810</v>
      </c>
      <c r="E16" s="179" t="s">
        <v>4</v>
      </c>
      <c r="F16" s="180">
        <v>45670</v>
      </c>
      <c r="G16" s="1096">
        <f t="shared" si="14"/>
        <v>111.22229999999999</v>
      </c>
      <c r="H16" s="182">
        <v>-100</v>
      </c>
      <c r="I16" s="183"/>
      <c r="J16" s="184">
        <v>11122.23</v>
      </c>
      <c r="K16" s="1095">
        <f t="shared" si="28"/>
        <v>8343.65</v>
      </c>
      <c r="L16" s="1100" t="str" cm="1">
        <f t="array" ref="L16">IFERROR(INDEX(M_TRX_TYPE[#Data], U16, MATCH($C$5,M_TRX_TYPE[#Headers], 0)), "")</f>
        <v xml:space="preserve">4023 Sale of CDN Securities </v>
      </c>
      <c r="M16" s="1102" t="str">
        <f t="shared" si="15"/>
        <v>JCI</v>
      </c>
      <c r="N16" s="1103">
        <f>IF((O16="H"),(MAX($N$8:N15)+1),0)</f>
        <v>0</v>
      </c>
      <c r="O16" s="1204" t="str">
        <f t="shared" si="16"/>
        <v/>
      </c>
      <c r="P16" s="1105" cm="1">
        <f t="array" ref="P16">MAX(IF($D$10:$D$84=D16, $S$10:$S$84))</f>
        <v>2</v>
      </c>
      <c r="Q16" s="1106">
        <f>IF((E16="B"),(MAX($Q$6:Q15)+1),0)</f>
        <v>0</v>
      </c>
      <c r="R16" s="1106">
        <f>IF((AG16&lt;0),(MAX($R$8:$R15)+1),0)</f>
        <v>1</v>
      </c>
      <c r="S16" s="1086">
        <f>IF((M16=""),0,COUNTIF($M$8:M16,M16))</f>
        <v>2</v>
      </c>
      <c r="T16" s="1086">
        <f>IFERROR(MATCH(M16,M_SYMBOL[SYMBOL],0),"")</f>
        <v>135</v>
      </c>
      <c r="U16" s="1070">
        <f>IFERROR(MATCH(E16,M_TRX_TYPE[TYPE],0),"")</f>
        <v>4</v>
      </c>
      <c r="V16" s="1107">
        <f t="shared" si="17"/>
        <v>0</v>
      </c>
      <c r="W16" s="1095">
        <f t="shared" si="18"/>
        <v>0</v>
      </c>
      <c r="X16" s="1108">
        <f t="shared" si="19"/>
        <v>-11122.23</v>
      </c>
      <c r="Y16" s="1109">
        <f ca="1">IF(S16=1,0,IF(M16="",0,IF(S16&gt;1,(SUMIF($M$8:Z15,M16,$Z$8:Z15))+(SUMIF($M$8:Z15,M16,$AA$8:AA15)),0)))</f>
        <v>100</v>
      </c>
      <c r="Z16" s="1110">
        <f t="shared" si="20"/>
        <v>0</v>
      </c>
      <c r="AA16" s="1111">
        <f t="shared" si="21"/>
        <v>-100</v>
      </c>
      <c r="AB16" s="1112">
        <f ca="1">DE_BKCDN[[#This Row],[PREVIOUS
UNITS]]+DE_BKCDN[[#This Row],[SHARES
BOUGHT]]+DE_BKCDN[[#This Row],[SHARES 
SOLD]]</f>
        <v>0</v>
      </c>
      <c r="AC16" s="1113">
        <f ca="1">IF(S16=1,0,IF(M16="",0,IF(S16&gt;1,SUMIF($M$8:AE15,M16,$AE$8:AE15)+SUMIF($M$8:AE15,M16,$AD$8:AD15),0)))</f>
        <v>11801.86</v>
      </c>
      <c r="AD16" s="1114">
        <f t="shared" si="22"/>
        <v>0</v>
      </c>
      <c r="AE16" s="1115">
        <f t="shared" ca="1" si="23"/>
        <v>-11801.86</v>
      </c>
      <c r="AF16" s="1116">
        <f t="shared" ca="1" si="24"/>
        <v>0</v>
      </c>
      <c r="AG16" s="1117">
        <f t="shared" si="25"/>
        <v>-11122.23</v>
      </c>
      <c r="AH16" s="1115">
        <f ca="1">DE_BKCDN[[#This Row],[PROCEEDS]]-DE_BKCDN[[#This Row],[SOLD]]</f>
        <v>679.63000000000102</v>
      </c>
      <c r="AI16" s="1118" t="str">
        <f t="shared" ca="1" si="29"/>
        <v/>
      </c>
      <c r="AJ16" s="1119">
        <f ca="1">IF(E16="S", DATEDIF(_xlfn.MAXIFS($F$10:F16, $D$10:D16, D16, $AB$10:AB16, "&gt;0"), F16, "d"), "")</f>
        <v>40</v>
      </c>
      <c r="AK16" s="1118" t="str">
        <f>IF(O16="H",DE_BKCDN[[#This Row],[DATE]],"")</f>
        <v/>
      </c>
      <c r="AL16" s="1120" t="str">
        <f t="shared" si="11"/>
        <v/>
      </c>
      <c r="AM16" s="1121">
        <f t="shared" si="12"/>
        <v>0</v>
      </c>
      <c r="AN16" s="1122">
        <v>0</v>
      </c>
      <c r="AO16" s="1122">
        <f>IFERROR(DE_BKCDN[[#This Row],[MKT]]*DE_BKCDN[[#This Row],[HOLDINGS]],0)</f>
        <v>0</v>
      </c>
      <c r="AP16" s="1123" t="str">
        <f t="shared" si="26"/>
        <v xml:space="preserve"> </v>
      </c>
      <c r="AQ16" s="159" t="s">
        <v>0</v>
      </c>
      <c r="AR16" s="159"/>
      <c r="AT16" s="1086" t="s">
        <v>26</v>
      </c>
      <c r="AU16" s="1070">
        <f>IFERROR(MATCH(AT16,M_TRX_TYPE[TYPE],0),"")</f>
        <v>5</v>
      </c>
      <c r="AV16" s="1071" t="str" cm="1">
        <f t="array" ref="AV16">IFERROR(INDEX(M_TRX_TYPE[#Data], AU16, MATCH($C$5, M_TRX_TYPE[#Headers], 0)), "")</f>
        <v>1131 Broker CDN Securities</v>
      </c>
      <c r="AW16" s="1087">
        <f t="shared" ca="1" si="30"/>
        <v>109667.00999999998</v>
      </c>
      <c r="AX16" s="1073">
        <f ca="1">SUMIF($E$10:$X$98,AT16,$X$10:$X$98)</f>
        <v>-109667.00999999998</v>
      </c>
      <c r="AY16" s="1074"/>
      <c r="AZ16" s="1074" t="s">
        <v>0</v>
      </c>
      <c r="BA16" s="1081" t="s">
        <v>774</v>
      </c>
      <c r="BB16" s="1081">
        <f t="shared" si="31"/>
        <v>1</v>
      </c>
      <c r="BC16" s="1073">
        <f ca="1">FR_U118[[#This Row],[AMOUNT]]*BB16</f>
        <v>109667.00999999998</v>
      </c>
    </row>
    <row r="17" spans="1:57" s="179" customFormat="1" ht="15.75" customHeight="1">
      <c r="A17" s="177"/>
      <c r="B17" s="624">
        <v>107</v>
      </c>
      <c r="C17" s="194" t="str">
        <f t="shared" si="27"/>
        <v>BK-CDN</v>
      </c>
      <c r="D17" s="183" t="s">
        <v>782</v>
      </c>
      <c r="E17" s="179" t="s">
        <v>3</v>
      </c>
      <c r="F17" s="180">
        <v>45671</v>
      </c>
      <c r="G17" s="1096">
        <f t="shared" si="14"/>
        <v>181.67733333333334</v>
      </c>
      <c r="H17" s="182">
        <v>75</v>
      </c>
      <c r="I17" s="183"/>
      <c r="J17" s="184">
        <v>-13625.8</v>
      </c>
      <c r="K17" s="1095">
        <f t="shared" si="28"/>
        <v>-5282.15</v>
      </c>
      <c r="L17" s="1100" t="str" cm="1">
        <f t="array" ref="L17">IFERROR(INDEX(M_TRX_TYPE[#Data], U17, MATCH($C$5,M_TRX_TYPE[#Headers], 0)), "")</f>
        <v>1131 Broker CDN Securities</v>
      </c>
      <c r="M17" s="1102" t="str">
        <f t="shared" si="15"/>
        <v>MS</v>
      </c>
      <c r="N17" s="1103">
        <f>IF((O17="H"),(MAX($N$8:N16)+1),0)</f>
        <v>0</v>
      </c>
      <c r="O17" s="1204" t="str">
        <f t="shared" si="16"/>
        <v/>
      </c>
      <c r="P17" s="1105" cm="1">
        <f t="array" ref="P17">MAX(IF($D$10:$D$84=D17, $S$10:$S$84))</f>
        <v>2</v>
      </c>
      <c r="Q17" s="1106">
        <f>IF((E17="B"),(MAX($Q$6:Q16)+1),0)</f>
        <v>1</v>
      </c>
      <c r="R17" s="1106">
        <f>IF((AG17&lt;0),(MAX($R$8:$R16)+1),0)</f>
        <v>0</v>
      </c>
      <c r="S17" s="1086">
        <f>IF((M17=""),0,COUNTIF($M$8:M17,M17))</f>
        <v>1</v>
      </c>
      <c r="T17" s="1086">
        <f>IFERROR(MATCH(M17,M_SYMBOL[SYMBOL],0),"")</f>
        <v>153</v>
      </c>
      <c r="U17" s="1070">
        <f>IFERROR(MATCH(E17,M_TRX_TYPE[TYPE],0),"")</f>
        <v>3</v>
      </c>
      <c r="V17" s="1107">
        <f t="shared" si="17"/>
        <v>0</v>
      </c>
      <c r="W17" s="1095">
        <f t="shared" si="18"/>
        <v>0</v>
      </c>
      <c r="X17" s="1108">
        <f t="shared" si="19"/>
        <v>13625.8</v>
      </c>
      <c r="Y17" s="1109">
        <f>IF(S17=1,0,IF(M17="",0,IF(S17&gt;1,(SUMIF($M$8:Z16,M17,$Z$8:Z16))+(SUMIF($M$8:Z16,M17,$AA$8:AA16)),0)))</f>
        <v>0</v>
      </c>
      <c r="Z17" s="1110">
        <f t="shared" si="20"/>
        <v>75</v>
      </c>
      <c r="AA17" s="1111">
        <f t="shared" si="21"/>
        <v>0</v>
      </c>
      <c r="AB17" s="1112">
        <f>DE_BKCDN[[#This Row],[PREVIOUS
UNITS]]+DE_BKCDN[[#This Row],[SHARES
BOUGHT]]+DE_BKCDN[[#This Row],[SHARES 
SOLD]]</f>
        <v>75</v>
      </c>
      <c r="AC17" s="1113">
        <f>IF(S17=1,0,IF(M17="",0,IF(S17&gt;1,SUMIF($M$8:AE16,M17,$AE$8:AE16)+SUMIF($M$8:AE16,M17,$AD$8:AD16),0)))</f>
        <v>0</v>
      </c>
      <c r="AD17" s="1114">
        <f t="shared" si="22"/>
        <v>13625.8</v>
      </c>
      <c r="AE17" s="1115">
        <f t="shared" si="23"/>
        <v>0</v>
      </c>
      <c r="AF17" s="1116">
        <f t="shared" si="24"/>
        <v>13625.8</v>
      </c>
      <c r="AG17" s="1117">
        <f t="shared" si="25"/>
        <v>0</v>
      </c>
      <c r="AH17" s="1115">
        <f>DE_BKCDN[[#This Row],[PROCEEDS]]-DE_BKCDN[[#This Row],[SOLD]]</f>
        <v>0</v>
      </c>
      <c r="AI17" s="1118">
        <f t="shared" si="29"/>
        <v>45671</v>
      </c>
      <c r="AJ17" s="1119" t="str">
        <f>IF(E17="S", DATEDIF(_xlfn.MAXIFS($F$10:F17, $D$10:D17, D17, $AB$10:AB17, "&gt;0"), F17, "d"), "")</f>
        <v/>
      </c>
      <c r="AK17" s="1118" t="str">
        <f>IF(O17="H",DE_BKCDN[[#This Row],[DATE]],"")</f>
        <v/>
      </c>
      <c r="AL17" s="1120" t="str">
        <f t="shared" si="11"/>
        <v/>
      </c>
      <c r="AM17" s="1121">
        <f t="shared" si="12"/>
        <v>0</v>
      </c>
      <c r="AN17" s="1122">
        <v>0</v>
      </c>
      <c r="AO17" s="1122">
        <f>IFERROR(DE_BKCDN[[#This Row],[MKT]]*DE_BKCDN[[#This Row],[HOLDINGS]],0)</f>
        <v>0</v>
      </c>
      <c r="AP17" s="1123" t="str">
        <f t="shared" si="26"/>
        <v xml:space="preserve"> </v>
      </c>
      <c r="AQ17" s="159" t="s">
        <v>0</v>
      </c>
      <c r="AR17" s="159"/>
      <c r="AT17" s="1086" t="s">
        <v>230</v>
      </c>
      <c r="AU17" s="1070">
        <f>IFERROR(MATCH(AT17,M_TRX_TYPE[TYPE],0),"")</f>
        <v>1</v>
      </c>
      <c r="AV17" s="1071" t="str" cm="1">
        <f t="array" ref="AV17">IFERROR(INDEX(M_TRX_TYPE[#Data], AU17, MATCH($C$5, M_TRX_TYPE[#Headers], 0)), "")</f>
        <v>1119 Bank Transfer Account</v>
      </c>
      <c r="AW17" s="1087">
        <f t="shared" ca="1" si="30"/>
        <v>-25439.620000000003</v>
      </c>
      <c r="AX17" s="1073">
        <v>0</v>
      </c>
      <c r="AY17" s="1074"/>
      <c r="AZ17" s="1074" t="s">
        <v>0</v>
      </c>
      <c r="BA17" s="1081" t="s">
        <v>774</v>
      </c>
      <c r="BB17" s="1081">
        <f t="shared" si="31"/>
        <v>1</v>
      </c>
      <c r="BC17" s="1073">
        <f ca="1">FR_U118[[#This Row],[AMOUNT]]*BB17</f>
        <v>-25439.620000000003</v>
      </c>
    </row>
    <row r="18" spans="1:57" s="179" customFormat="1" ht="15.75" customHeight="1">
      <c r="A18" s="177"/>
      <c r="B18" s="624">
        <v>110</v>
      </c>
      <c r="C18" s="194" t="str">
        <f t="shared" si="27"/>
        <v>BK-CDN</v>
      </c>
      <c r="D18" s="183" t="s">
        <v>1109</v>
      </c>
      <c r="E18" s="179" t="s">
        <v>33</v>
      </c>
      <c r="F18" s="180">
        <v>45659</v>
      </c>
      <c r="G18" s="1096" t="str">
        <f t="shared" si="14"/>
        <v xml:space="preserve"> </v>
      </c>
      <c r="H18" s="182"/>
      <c r="I18" s="183"/>
      <c r="J18" s="184">
        <v>200</v>
      </c>
      <c r="K18" s="1095">
        <f t="shared" si="28"/>
        <v>-5082.1499999999996</v>
      </c>
      <c r="L18" s="1100" t="str" cm="1">
        <f t="array" ref="L18">IFERROR(INDEX(M_TRX_TYPE[#Data], U18, MATCH($C$5,M_TRX_TYPE[#Headers], 0)), "")</f>
        <v xml:space="preserve">2990 Due from a shareholder </v>
      </c>
      <c r="M18" s="1102" t="str">
        <f t="shared" si="15"/>
        <v/>
      </c>
      <c r="N18" s="1103">
        <f>IF((O18="H"),(MAX($N$8:N17)+1),0)</f>
        <v>0</v>
      </c>
      <c r="O18" s="1204" t="str">
        <f t="shared" si="16"/>
        <v/>
      </c>
      <c r="P18" s="1105" cm="1">
        <f t="array" ref="P18">MAX(IF($D$10:$D$84=D18, $S$10:$S$84))</f>
        <v>0</v>
      </c>
      <c r="Q18" s="1106">
        <f>IF((E18="B"),(MAX($Q$6:Q17)+1),0)</f>
        <v>0</v>
      </c>
      <c r="R18" s="1106">
        <f>IF((AG18&lt;0),(MAX($R$8:$R17)+1),0)</f>
        <v>0</v>
      </c>
      <c r="S18" s="1086">
        <f>IF((M18=""),0,COUNTIF($M$8:M18,M18))</f>
        <v>0</v>
      </c>
      <c r="T18" s="1086" t="str">
        <f>IFERROR(MATCH(M18,M_SYMBOL[SYMBOL],0),"")</f>
        <v/>
      </c>
      <c r="U18" s="1070">
        <f>IFERROR(MATCH(E18,M_TRX_TYPE[TYPE],0),"")</f>
        <v>6</v>
      </c>
      <c r="V18" s="1107">
        <f t="shared" si="17"/>
        <v>0</v>
      </c>
      <c r="W18" s="1095">
        <f t="shared" si="18"/>
        <v>0</v>
      </c>
      <c r="X18" s="1108">
        <f t="shared" si="19"/>
        <v>-200</v>
      </c>
      <c r="Y18" s="1109">
        <f>IF(S18=1,0,IF(M18="",0,IF(S18&gt;1,(SUMIF($M$8:Z17,M18,$Z$8:Z17))+(SUMIF($M$8:Z17,M18,$AA$8:AA17)),0)))</f>
        <v>0</v>
      </c>
      <c r="Z18" s="1110">
        <f t="shared" si="20"/>
        <v>0</v>
      </c>
      <c r="AA18" s="1111">
        <f t="shared" si="21"/>
        <v>0</v>
      </c>
      <c r="AB18" s="1112">
        <f>DE_BKCDN[[#This Row],[PREVIOUS
UNITS]]+DE_BKCDN[[#This Row],[SHARES
BOUGHT]]+DE_BKCDN[[#This Row],[SHARES 
SOLD]]</f>
        <v>0</v>
      </c>
      <c r="AC18" s="1113">
        <f>IF(S18=1,0,IF(M18="",0,IF(S18&gt;1,SUMIF($M$8:AE17,M18,$AE$8:AE17)+SUMIF($M$8:AE17,M18,$AD$8:AD17),0)))</f>
        <v>0</v>
      </c>
      <c r="AD18" s="1114">
        <f t="shared" si="22"/>
        <v>0</v>
      </c>
      <c r="AE18" s="1115">
        <f t="shared" si="23"/>
        <v>0</v>
      </c>
      <c r="AF18" s="1116">
        <f t="shared" si="24"/>
        <v>0</v>
      </c>
      <c r="AG18" s="1117">
        <f t="shared" si="25"/>
        <v>0</v>
      </c>
      <c r="AH18" s="1115">
        <f>DE_BKCDN[[#This Row],[PROCEEDS]]-DE_BKCDN[[#This Row],[SOLD]]</f>
        <v>0</v>
      </c>
      <c r="AI18" s="1118" t="e">
        <f>IF(AB18=0, IF(AND(OR(E18="B", E18="O"), D18=#REF!), F18, ""), IF(#REF!="", F18, IF(D18=#REF!,#REF!, F18)))</f>
        <v>#REF!</v>
      </c>
      <c r="AJ18" s="1119" t="str">
        <f>IF(E18="S", DATEDIF(_xlfn.MAXIFS($F$10:F18, $D$10:D18, D18, $AB$10:AB18, "&gt;0"), F18, "d"), "")</f>
        <v/>
      </c>
      <c r="AK18" s="1118" t="str">
        <f>IF(O18="H",DE_BKCDN[[#This Row],[DATE]],"")</f>
        <v/>
      </c>
      <c r="AL18" s="1120" t="str">
        <f t="shared" si="11"/>
        <v/>
      </c>
      <c r="AM18" s="1121">
        <f t="shared" si="12"/>
        <v>0</v>
      </c>
      <c r="AN18" s="1122">
        <v>0</v>
      </c>
      <c r="AO18" s="1122">
        <f>IFERROR(DE_BKCDN[[#This Row],[MKT]]*DE_BKCDN[[#This Row],[HOLDINGS]],0)</f>
        <v>0</v>
      </c>
      <c r="AP18" s="1123" t="str">
        <f t="shared" si="26"/>
        <v xml:space="preserve"> </v>
      </c>
      <c r="AQ18" s="159" t="s">
        <v>0</v>
      </c>
      <c r="AR18" s="159"/>
      <c r="AT18" s="1086" t="s">
        <v>34</v>
      </c>
      <c r="AU18" s="1070">
        <f>IFERROR(MATCH(AT18,M_TRX_TYPE[TYPE],0),"")</f>
        <v>7</v>
      </c>
      <c r="AV18" s="1071" t="str" cm="1">
        <f t="array" ref="AV18">IFERROR(INDEX(M_TRX_TYPE[#Data], AU18, MATCH($C$5, M_TRX_TYPE[#Headers], 0)), "")</f>
        <v>4460 Dividends Cdn</v>
      </c>
      <c r="AW18" s="1087">
        <f t="shared" ca="1" si="30"/>
        <v>421.71</v>
      </c>
      <c r="AX18" s="1073">
        <v>0</v>
      </c>
      <c r="AY18" s="1074"/>
      <c r="AZ18" s="1074" t="s">
        <v>0</v>
      </c>
      <c r="BA18" s="1081" t="s">
        <v>774</v>
      </c>
      <c r="BB18" s="1081">
        <f t="shared" si="31"/>
        <v>1</v>
      </c>
      <c r="BC18" s="1073">
        <f ca="1">FR_U118[[#This Row],[AMOUNT]]*BB18</f>
        <v>421.71</v>
      </c>
    </row>
    <row r="19" spans="1:57" s="179" customFormat="1" ht="15.75" customHeight="1">
      <c r="A19" s="177"/>
      <c r="B19" s="624">
        <v>111</v>
      </c>
      <c r="C19" s="194" t="str">
        <f t="shared" si="27"/>
        <v>BK-CDN</v>
      </c>
      <c r="D19" s="183" t="s">
        <v>1009</v>
      </c>
      <c r="E19" s="179" t="s">
        <v>34</v>
      </c>
      <c r="F19" s="180">
        <v>45659</v>
      </c>
      <c r="G19" s="1096" t="str">
        <f t="shared" si="14"/>
        <v xml:space="preserve"> </v>
      </c>
      <c r="H19" s="182"/>
      <c r="I19" s="183"/>
      <c r="J19" s="184">
        <v>11.16</v>
      </c>
      <c r="K19" s="1095">
        <f t="shared" si="28"/>
        <v>-5070.99</v>
      </c>
      <c r="L19" s="1100" t="str" cm="1">
        <f t="array" ref="L19">IFERROR(INDEX(M_TRX_TYPE[#Data], U19, MATCH($C$5,M_TRX_TYPE[#Headers], 0)), "")</f>
        <v>4460 Dividends Cdn</v>
      </c>
      <c r="M19" s="1102" t="str">
        <f t="shared" si="15"/>
        <v/>
      </c>
      <c r="N19" s="1103">
        <f>IF((O19="H"),(MAX($N$8:N18)+1),0)</f>
        <v>0</v>
      </c>
      <c r="O19" s="1204" t="str">
        <f t="shared" si="16"/>
        <v/>
      </c>
      <c r="P19" s="1105" cm="1">
        <f t="array" ref="P19">MAX(IF($D$10:$D$84=D19, $S$10:$S$84))</f>
        <v>3</v>
      </c>
      <c r="Q19" s="1106">
        <f>IF((E19="B"),(MAX($Q$6:Q18)+1),0)</f>
        <v>0</v>
      </c>
      <c r="R19" s="1106">
        <f>IF((AG19&lt;0),(MAX($R$8:$R18)+1),0)</f>
        <v>0</v>
      </c>
      <c r="S19" s="1086">
        <f>IF((M19=""),0,COUNTIF($M$8:M19,M19))</f>
        <v>0</v>
      </c>
      <c r="T19" s="1086" t="str">
        <f>IFERROR(MATCH(M19,M_SYMBOL[SYMBOL],0),"")</f>
        <v/>
      </c>
      <c r="U19" s="1070">
        <f>IFERROR(MATCH(E19,M_TRX_TYPE[TYPE],0),"")</f>
        <v>7</v>
      </c>
      <c r="V19" s="1107">
        <f t="shared" si="17"/>
        <v>0</v>
      </c>
      <c r="W19" s="1095">
        <f t="shared" si="18"/>
        <v>0</v>
      </c>
      <c r="X19" s="1108">
        <f t="shared" si="19"/>
        <v>-11.16</v>
      </c>
      <c r="Y19" s="1109">
        <f>IF(S19=1,0,IF(M19="",0,IF(S19&gt;1,(SUMIF($M$8:Z18,M19,$Z$8:Z18))+(SUMIF($M$8:Z18,M19,$AA$8:AA18)),0)))</f>
        <v>0</v>
      </c>
      <c r="Z19" s="1110">
        <f t="shared" si="20"/>
        <v>0</v>
      </c>
      <c r="AA19" s="1111">
        <f t="shared" si="21"/>
        <v>0</v>
      </c>
      <c r="AB19" s="1112">
        <f>DE_BKCDN[[#This Row],[PREVIOUS
UNITS]]+DE_BKCDN[[#This Row],[SHARES
BOUGHT]]+DE_BKCDN[[#This Row],[SHARES 
SOLD]]</f>
        <v>0</v>
      </c>
      <c r="AC19" s="1113">
        <f>IF(S19=1,0,IF(M19="",0,IF(S19&gt;1,SUMIF($M$8:AE18,M19,$AE$8:AE18)+SUMIF($M$8:AE18,M19,$AD$8:AD18),0)))</f>
        <v>0</v>
      </c>
      <c r="AD19" s="1114">
        <f t="shared" si="22"/>
        <v>0</v>
      </c>
      <c r="AE19" s="1115">
        <f t="shared" si="23"/>
        <v>0</v>
      </c>
      <c r="AF19" s="1116">
        <f t="shared" si="24"/>
        <v>0</v>
      </c>
      <c r="AG19" s="1117">
        <f t="shared" si="25"/>
        <v>0</v>
      </c>
      <c r="AH19" s="1115">
        <f>DE_BKCDN[[#This Row],[PROCEEDS]]-DE_BKCDN[[#This Row],[SOLD]]</f>
        <v>0</v>
      </c>
      <c r="AI19" s="1118" t="str">
        <f t="shared" si="29"/>
        <v/>
      </c>
      <c r="AJ19" s="1119" t="str">
        <f>IF(E19="S", DATEDIF(_xlfn.MAXIFS($F$10:F19, $D$10:D19, D19, $AB$10:AB19, "&gt;0"), F19, "d"), "")</f>
        <v/>
      </c>
      <c r="AK19" s="1118" t="str">
        <f>IF(O19="H",DE_BKCDN[[#This Row],[DATE]],"")</f>
        <v/>
      </c>
      <c r="AL19" s="1120" t="str">
        <f t="shared" si="11"/>
        <v/>
      </c>
      <c r="AM19" s="1121">
        <f t="shared" si="12"/>
        <v>0</v>
      </c>
      <c r="AN19" s="1122">
        <v>0</v>
      </c>
      <c r="AO19" s="1122">
        <f>IFERROR(DE_BKCDN[[#This Row],[MKT]]*DE_BKCDN[[#This Row],[HOLDINGS]],0)</f>
        <v>0</v>
      </c>
      <c r="AP19" s="1123">
        <f t="shared" si="26"/>
        <v>11.16</v>
      </c>
      <c r="AQ19" s="159" t="s">
        <v>0</v>
      </c>
      <c r="AR19" s="159"/>
      <c r="AT19" s="1086" t="s">
        <v>35</v>
      </c>
      <c r="AU19" s="1070">
        <f>IFERROR(MATCH(AT19,M_TRX_TYPE[TYPE],0),"")</f>
        <v>8</v>
      </c>
      <c r="AV19" s="1071" t="str" cm="1">
        <f t="array" ref="AV19">IFERROR(INDEX(M_TRX_TYPE[#Data], AU19, MATCH($C$5, M_TRX_TYPE[#Headers], 0)), "")</f>
        <v>1139 Exchange/mark to market</v>
      </c>
      <c r="AW19" s="1087">
        <f t="shared" ca="1" si="30"/>
        <v>200</v>
      </c>
      <c r="AX19" s="1073">
        <f ca="1">FR_U118[[#This Row],[AMOUNT]]</f>
        <v>200</v>
      </c>
      <c r="AY19" s="1074"/>
      <c r="AZ19" s="1074" t="s">
        <v>1</v>
      </c>
      <c r="BA19" s="1081" t="s">
        <v>774</v>
      </c>
      <c r="BB19" s="1081">
        <f t="shared" si="31"/>
        <v>1</v>
      </c>
      <c r="BC19" s="1073">
        <f ca="1">FR_U118[[#This Row],[AMOUNT]]*BB19</f>
        <v>200</v>
      </c>
    </row>
    <row r="20" spans="1:57" s="179" customFormat="1" ht="15.75" customHeight="1">
      <c r="A20" s="177"/>
      <c r="B20" s="624">
        <v>112</v>
      </c>
      <c r="C20" s="194" t="str">
        <f t="shared" si="27"/>
        <v>BK-CDN</v>
      </c>
      <c r="D20" s="183" t="s">
        <v>1009</v>
      </c>
      <c r="E20" s="179" t="s">
        <v>3</v>
      </c>
      <c r="F20" s="180">
        <v>45659</v>
      </c>
      <c r="G20" s="1096">
        <f t="shared" si="14"/>
        <v>7.64</v>
      </c>
      <c r="H20" s="182">
        <v>1</v>
      </c>
      <c r="I20" s="183"/>
      <c r="J20" s="184">
        <v>-7.64</v>
      </c>
      <c r="K20" s="1095">
        <f t="shared" si="28"/>
        <v>-5078.63</v>
      </c>
      <c r="L20" s="1100" t="str" cm="1">
        <f t="array" ref="L20">IFERROR(INDEX(M_TRX_TYPE[#Data], U20, MATCH($C$5,M_TRX_TYPE[#Headers], 0)), "")</f>
        <v>1131 Broker CDN Securities</v>
      </c>
      <c r="M20" s="1102" t="str">
        <f t="shared" si="15"/>
        <v>VRN</v>
      </c>
      <c r="N20" s="1103">
        <f>IF((O20="H"),(MAX($N$8:N19)+1),0)</f>
        <v>0</v>
      </c>
      <c r="O20" s="1204" t="str">
        <f t="shared" si="16"/>
        <v/>
      </c>
      <c r="P20" s="1105" cm="1">
        <f t="array" ref="P20">MAX(IF($D$10:$D$84=D20, $S$10:$S$84))</f>
        <v>3</v>
      </c>
      <c r="Q20" s="1106">
        <f>IF((E20="B"),(MAX($Q$6:Q19)+1),0)</f>
        <v>2</v>
      </c>
      <c r="R20" s="1106">
        <f>IF((AG20&lt;0),(MAX($R$8:$R19)+1),0)</f>
        <v>0</v>
      </c>
      <c r="S20" s="1086">
        <f>IF((M20=""),0,COUNTIF($M$8:M20,M20))</f>
        <v>2</v>
      </c>
      <c r="T20" s="1086">
        <f>IFERROR(MATCH(M20,M_SYMBOL[SYMBOL],0),"")</f>
        <v>212</v>
      </c>
      <c r="U20" s="1070">
        <f>IFERROR(MATCH(E20,M_TRX_TYPE[TYPE],0),"")</f>
        <v>3</v>
      </c>
      <c r="V20" s="1107">
        <f t="shared" si="17"/>
        <v>0</v>
      </c>
      <c r="W20" s="1095">
        <f t="shared" si="18"/>
        <v>0</v>
      </c>
      <c r="X20" s="1108">
        <f t="shared" si="19"/>
        <v>7.64</v>
      </c>
      <c r="Y20" s="1109">
        <f ca="1">IF(S20=1,0,IF(M20="",0,IF(S20&gt;1,(SUMIF($M$8:Z19,M20,$Z$8:Z19))+(SUMIF($M$8:Z19,M20,$AA$8:AA19)),0)))</f>
        <v>98</v>
      </c>
      <c r="Z20" s="1110">
        <f t="shared" si="20"/>
        <v>1</v>
      </c>
      <c r="AA20" s="1111">
        <f t="shared" si="21"/>
        <v>0</v>
      </c>
      <c r="AB20" s="1112">
        <f ca="1">DE_BKCDN[[#This Row],[PREVIOUS
UNITS]]+DE_BKCDN[[#This Row],[SHARES
BOUGHT]]+DE_BKCDN[[#This Row],[SHARES 
SOLD]]</f>
        <v>99</v>
      </c>
      <c r="AC20" s="1113">
        <f ca="1">IF(S20=1,0,IF(M20="",0,IF(S20&gt;1,SUMIF($M$8:AE19,M20,$AE$8:AE19)+SUMIF($M$8:AE19,M20,$AD$8:AD19),0)))</f>
        <v>777.86</v>
      </c>
      <c r="AD20" s="1114">
        <f t="shared" si="22"/>
        <v>7.64</v>
      </c>
      <c r="AE20" s="1115">
        <f t="shared" si="23"/>
        <v>0</v>
      </c>
      <c r="AF20" s="1116">
        <f t="shared" ca="1" si="24"/>
        <v>785.5</v>
      </c>
      <c r="AG20" s="1117">
        <f t="shared" si="25"/>
        <v>0</v>
      </c>
      <c r="AH20" s="1115">
        <f>DE_BKCDN[[#This Row],[PROCEEDS]]-DE_BKCDN[[#This Row],[SOLD]]</f>
        <v>0</v>
      </c>
      <c r="AI20" s="1118" t="str">
        <f t="shared" ca="1" si="29"/>
        <v/>
      </c>
      <c r="AJ20" s="1119" t="str">
        <f>IF(E20="S", DATEDIF(_xlfn.MAXIFS($F$10:F20, $D$10:D20, D20, $AB$10:AB20, "&gt;0"), F20, "d"), "")</f>
        <v/>
      </c>
      <c r="AK20" s="1118" t="str">
        <f>IF(O20="H",DE_BKCDN[[#This Row],[DATE]],"")</f>
        <v/>
      </c>
      <c r="AL20" s="1120" t="str">
        <f t="shared" si="11"/>
        <v/>
      </c>
      <c r="AM20" s="1121">
        <f t="shared" si="12"/>
        <v>0</v>
      </c>
      <c r="AN20" s="1122">
        <v>0</v>
      </c>
      <c r="AO20" s="1122">
        <f>IFERROR(DE_BKCDN[[#This Row],[MKT]]*DE_BKCDN[[#This Row],[HOLDINGS]],0)</f>
        <v>0</v>
      </c>
      <c r="AP20" s="1123" t="str">
        <f t="shared" si="26"/>
        <v xml:space="preserve"> </v>
      </c>
      <c r="AQ20" s="159" t="s">
        <v>0</v>
      </c>
      <c r="AR20" s="159"/>
      <c r="AT20" s="1086" t="s">
        <v>37</v>
      </c>
      <c r="AU20" s="1070">
        <f>IFERROR(MATCH(AT20,M_TRX_TYPE[TYPE],0),"")</f>
        <v>9</v>
      </c>
      <c r="AV20" s="1071" t="str" cm="1">
        <f t="array" ref="AV20">IFERROR(INDEX(M_TRX_TYPE[#Data], AU20, MATCH($C$5, M_TRX_TYPE[#Headers], 0)), "")</f>
        <v>4109 Cdn Interest income</v>
      </c>
      <c r="AW20" s="1087">
        <f ca="1">SUMIF($E$10:$X$98,AT20,$X$10:$X$98)</f>
        <v>0</v>
      </c>
      <c r="AX20" s="1073">
        <f ca="1">FR_U118[[#This Row],[AMOUNT]]</f>
        <v>0</v>
      </c>
      <c r="AY20" s="1074"/>
      <c r="AZ20" s="1074" t="s">
        <v>1</v>
      </c>
      <c r="BA20" s="1081" t="s">
        <v>774</v>
      </c>
      <c r="BB20" s="1081">
        <f t="shared" si="31"/>
        <v>1</v>
      </c>
      <c r="BC20" s="1073">
        <f ca="1">FR_U118[[#This Row],[AMOUNT]]*BB20</f>
        <v>0</v>
      </c>
    </row>
    <row r="21" spans="1:57" s="179" customFormat="1" ht="15.75" customHeight="1">
      <c r="A21" s="177"/>
      <c r="B21" s="624">
        <v>113</v>
      </c>
      <c r="C21" s="194" t="str">
        <f t="shared" si="27"/>
        <v>BK-CDN</v>
      </c>
      <c r="D21" s="183" t="s">
        <v>942</v>
      </c>
      <c r="E21" s="179" t="s">
        <v>34</v>
      </c>
      <c r="F21" s="180">
        <v>45672</v>
      </c>
      <c r="G21" s="1096" t="str">
        <f t="shared" si="14"/>
        <v xml:space="preserve"> </v>
      </c>
      <c r="H21" s="182"/>
      <c r="I21" s="183"/>
      <c r="J21" s="184">
        <v>6.77</v>
      </c>
      <c r="K21" s="1095">
        <f t="shared" si="28"/>
        <v>-5071.8599999999997</v>
      </c>
      <c r="L21" s="1100" t="str" cm="1">
        <f t="array" ref="L21">IFERROR(INDEX(M_TRX_TYPE[#Data], U21, MATCH($C$5,M_TRX_TYPE[#Headers], 0)), "")</f>
        <v>4460 Dividends Cdn</v>
      </c>
      <c r="M21" s="1102" t="str">
        <f t="shared" si="15"/>
        <v/>
      </c>
      <c r="N21" s="1103">
        <f>IF((O21="H"),(MAX($N$8:N20)+1),0)</f>
        <v>0</v>
      </c>
      <c r="O21" s="1204" t="str">
        <f t="shared" si="16"/>
        <v/>
      </c>
      <c r="P21" s="1105" cm="1">
        <f t="array" ref="P21">MAX(IF($D$10:$D$84=D21, $S$10:$S$84))</f>
        <v>2</v>
      </c>
      <c r="Q21" s="1106">
        <f>IF((E21="B"),(MAX($Q$6:Q20)+1),0)</f>
        <v>0</v>
      </c>
      <c r="R21" s="1106">
        <f>IF((AG21&lt;0),(MAX($R$8:$R20)+1),0)</f>
        <v>0</v>
      </c>
      <c r="S21" s="1086">
        <f>IF((M21=""),0,COUNTIF($M$8:M21,M21))</f>
        <v>0</v>
      </c>
      <c r="T21" s="1086" t="str">
        <f>IFERROR(MATCH(M21,M_SYMBOL[SYMBOL],0),"")</f>
        <v/>
      </c>
      <c r="U21" s="1070">
        <f>IFERROR(MATCH(E21,M_TRX_TYPE[TYPE],0),"")</f>
        <v>7</v>
      </c>
      <c r="V21" s="1107">
        <f t="shared" si="17"/>
        <v>0</v>
      </c>
      <c r="W21" s="1095">
        <f t="shared" si="18"/>
        <v>0</v>
      </c>
      <c r="X21" s="1108">
        <f t="shared" si="19"/>
        <v>-6.77</v>
      </c>
      <c r="Y21" s="1109">
        <f>IF(S21=1,0,IF(M21="",0,IF(S21&gt;1,(SUMIF($M$8:Z20,M21,$Z$8:Z20))+(SUMIF($M$8:Z20,M21,$AA$8:AA20)),0)))</f>
        <v>0</v>
      </c>
      <c r="Z21" s="1110">
        <f t="shared" si="20"/>
        <v>0</v>
      </c>
      <c r="AA21" s="1111">
        <f t="shared" si="21"/>
        <v>0</v>
      </c>
      <c r="AB21" s="1112">
        <f>DE_BKCDN[[#This Row],[PREVIOUS
UNITS]]+DE_BKCDN[[#This Row],[SHARES
BOUGHT]]+DE_BKCDN[[#This Row],[SHARES 
SOLD]]</f>
        <v>0</v>
      </c>
      <c r="AC21" s="1113">
        <f>IF(S21=1,0,IF(M21="",0,IF(S21&gt;1,SUMIF($M$8:AE20,M21,$AE$8:AE20)+SUMIF($M$8:AE20,M21,$AD$8:AD20),0)))</f>
        <v>0</v>
      </c>
      <c r="AD21" s="1114">
        <f t="shared" si="22"/>
        <v>0</v>
      </c>
      <c r="AE21" s="1115">
        <f t="shared" si="23"/>
        <v>0</v>
      </c>
      <c r="AF21" s="1116">
        <f t="shared" si="24"/>
        <v>0</v>
      </c>
      <c r="AG21" s="1117">
        <f t="shared" si="25"/>
        <v>0</v>
      </c>
      <c r="AH21" s="1115">
        <f>DE_BKCDN[[#This Row],[PROCEEDS]]-DE_BKCDN[[#This Row],[SOLD]]</f>
        <v>0</v>
      </c>
      <c r="AI21" s="1118" t="str">
        <f t="shared" si="29"/>
        <v/>
      </c>
      <c r="AJ21" s="1119" t="str">
        <f>IF(E21="S", DATEDIF(_xlfn.MAXIFS($F$10:F21, $D$10:D21, D21, $AB$10:AB21, "&gt;0"), F21, "d"), "")</f>
        <v/>
      </c>
      <c r="AK21" s="1118" t="str">
        <f>IF(O21="H",DE_BKCDN[[#This Row],[DATE]],"")</f>
        <v/>
      </c>
      <c r="AL21" s="1120" t="str">
        <f t="shared" si="11"/>
        <v/>
      </c>
      <c r="AM21" s="1121">
        <f t="shared" si="12"/>
        <v>0</v>
      </c>
      <c r="AN21" s="1122">
        <v>0</v>
      </c>
      <c r="AO21" s="1122">
        <f>IFERROR(DE_BKCDN[[#This Row],[MKT]]*DE_BKCDN[[#This Row],[HOLDINGS]],0)</f>
        <v>0</v>
      </c>
      <c r="AP21" s="1123">
        <f t="shared" si="26"/>
        <v>6.77</v>
      </c>
      <c r="AQ21" s="159" t="s">
        <v>0</v>
      </c>
      <c r="AR21" s="159"/>
      <c r="AT21" s="1086" t="s">
        <v>234</v>
      </c>
      <c r="AU21" s="1070">
        <f>IFERROR(MATCH(AT21,M_TRX_TYPE[TYPE],0),"")</f>
        <v>10</v>
      </c>
      <c r="AV21" s="1071" t="str" cm="1">
        <f t="array" ref="AV21">IFERROR(INDEX(M_TRX_TYPE[#Data], AU21, MATCH($C$5, M_TRX_TYPE[#Headers], 0)), "")</f>
        <v>5201 Bank Service Charges</v>
      </c>
      <c r="AW21" s="1087">
        <f ca="1">SUMIF($E$10:$X$98,AT21,$X$10:$X$98)</f>
        <v>0</v>
      </c>
      <c r="AX21" s="1073">
        <f ca="1">FR_U118[[#This Row],[AMOUNT]]</f>
        <v>0</v>
      </c>
      <c r="AY21" s="1074"/>
      <c r="AZ21" s="1074" t="s">
        <v>1</v>
      </c>
      <c r="BA21" s="1081" t="s">
        <v>774</v>
      </c>
      <c r="BB21" s="1081">
        <f t="shared" si="31"/>
        <v>1</v>
      </c>
      <c r="BC21" s="1073">
        <f ca="1">FR_U118[[#This Row],[AMOUNT]]*BB21</f>
        <v>0</v>
      </c>
    </row>
    <row r="22" spans="1:57" s="179" customFormat="1" ht="15.75" customHeight="1">
      <c r="A22" s="177"/>
      <c r="B22" s="624">
        <v>114</v>
      </c>
      <c r="C22" s="194" t="str">
        <f t="shared" si="27"/>
        <v>BK-CDN</v>
      </c>
      <c r="D22" s="183" t="s">
        <v>942</v>
      </c>
      <c r="E22" s="179" t="s">
        <v>34</v>
      </c>
      <c r="F22" s="180">
        <v>45672</v>
      </c>
      <c r="G22" s="1096" t="str">
        <f t="shared" si="14"/>
        <v xml:space="preserve"> </v>
      </c>
      <c r="H22" s="182"/>
      <c r="I22" s="183"/>
      <c r="J22" s="184">
        <v>13.06</v>
      </c>
      <c r="K22" s="1095">
        <f t="shared" si="28"/>
        <v>-5058.7999999999993</v>
      </c>
      <c r="L22" s="1100" t="str" cm="1">
        <f t="array" ref="L22">IFERROR(INDEX(M_TRX_TYPE[#Data], U22, MATCH($C$5,M_TRX_TYPE[#Headers], 0)), "")</f>
        <v>4460 Dividends Cdn</v>
      </c>
      <c r="M22" s="1102" t="str">
        <f t="shared" si="15"/>
        <v/>
      </c>
      <c r="N22" s="1103">
        <f>IF((O22="H"),(MAX($N$8:N21)+1),0)</f>
        <v>0</v>
      </c>
      <c r="O22" s="1204" t="str">
        <f t="shared" si="16"/>
        <v/>
      </c>
      <c r="P22" s="1105" cm="1">
        <f t="array" ref="P22">MAX(IF($D$10:$D$84=D22, $S$10:$S$84))</f>
        <v>2</v>
      </c>
      <c r="Q22" s="1106">
        <f>IF((E22="B"),(MAX($Q$6:Q21)+1),0)</f>
        <v>0</v>
      </c>
      <c r="R22" s="1106">
        <f>IF((AG22&lt;0),(MAX($R$8:$R21)+1),0)</f>
        <v>0</v>
      </c>
      <c r="S22" s="1086">
        <f>IF((M22=""),0,COUNTIF($M$8:M22,M22))</f>
        <v>0</v>
      </c>
      <c r="T22" s="1086" t="str">
        <f>IFERROR(MATCH(M22,M_SYMBOL[SYMBOL],0),"")</f>
        <v/>
      </c>
      <c r="U22" s="1070">
        <f>IFERROR(MATCH(E22,M_TRX_TYPE[TYPE],0),"")</f>
        <v>7</v>
      </c>
      <c r="V22" s="1107">
        <f t="shared" si="17"/>
        <v>0</v>
      </c>
      <c r="W22" s="1095">
        <f t="shared" si="18"/>
        <v>0</v>
      </c>
      <c r="X22" s="1108">
        <f t="shared" si="19"/>
        <v>-13.06</v>
      </c>
      <c r="Y22" s="1109">
        <f>IF(S22=1,0,IF(M22="",0,IF(S22&gt;1,(SUMIF($M$8:Z21,M22,$Z$8:Z21))+(SUMIF($M$8:Z21,M22,$AA$8:AA21)),0)))</f>
        <v>0</v>
      </c>
      <c r="Z22" s="1110">
        <f t="shared" si="20"/>
        <v>0</v>
      </c>
      <c r="AA22" s="1111">
        <f t="shared" si="21"/>
        <v>0</v>
      </c>
      <c r="AB22" s="1112">
        <f>DE_BKCDN[[#This Row],[PREVIOUS
UNITS]]+DE_BKCDN[[#This Row],[SHARES
BOUGHT]]+DE_BKCDN[[#This Row],[SHARES 
SOLD]]</f>
        <v>0</v>
      </c>
      <c r="AC22" s="1113">
        <f>IF(S22=1,0,IF(M22="",0,IF(S22&gt;1,SUMIF($M$8:AE21,M22,$AE$8:AE21)+SUMIF($M$8:AE21,M22,$AD$8:AD21),0)))</f>
        <v>0</v>
      </c>
      <c r="AD22" s="1114">
        <f t="shared" si="22"/>
        <v>0</v>
      </c>
      <c r="AE22" s="1115">
        <f t="shared" si="23"/>
        <v>0</v>
      </c>
      <c r="AF22" s="1116">
        <f t="shared" si="24"/>
        <v>0</v>
      </c>
      <c r="AG22" s="1117">
        <f t="shared" si="25"/>
        <v>0</v>
      </c>
      <c r="AH22" s="1115">
        <f>DE_BKCDN[[#This Row],[PROCEEDS]]-DE_BKCDN[[#This Row],[SOLD]]</f>
        <v>0</v>
      </c>
      <c r="AI22" s="1118" t="str">
        <f t="shared" si="29"/>
        <v/>
      </c>
      <c r="AJ22" s="1119" t="str">
        <f>IF(E22="S", DATEDIF(_xlfn.MAXIFS($F$10:F22, $D$10:D22, D22, $AB$10:AB22, "&gt;0"), F22, "d"), "")</f>
        <v/>
      </c>
      <c r="AK22" s="1118" t="str">
        <f>IF(O22="H",DE_BKCDN[[#This Row],[DATE]],"")</f>
        <v/>
      </c>
      <c r="AL22" s="1120" t="str">
        <f t="shared" si="11"/>
        <v/>
      </c>
      <c r="AM22" s="1121">
        <f t="shared" si="12"/>
        <v>0</v>
      </c>
      <c r="AN22" s="1122">
        <v>0</v>
      </c>
      <c r="AO22" s="1122">
        <f>IFERROR(DE_BKCDN[[#This Row],[MKT]]*DE_BKCDN[[#This Row],[HOLDINGS]],0)</f>
        <v>0</v>
      </c>
      <c r="AP22" s="1123">
        <f t="shared" si="26"/>
        <v>13.06</v>
      </c>
      <c r="AQ22" s="159" t="s">
        <v>0</v>
      </c>
      <c r="AR22" s="159"/>
      <c r="AT22" s="1086" t="s">
        <v>235</v>
      </c>
      <c r="AU22" s="1070">
        <f>IFERROR(MATCH(AT22,M_TRX_TYPE[TYPE],0),"")</f>
        <v>11</v>
      </c>
      <c r="AV22" s="1071" t="str" cm="1">
        <f t="array" ref="AV22">IFERROR(INDEX(M_TRX_TYPE[#Data], AU22, MATCH($C$5, M_TRX_TYPE[#Headers], 0)), "")</f>
        <v>5202 Brokers Margin Interest</v>
      </c>
      <c r="AW22" s="1087">
        <f ca="1">SUMIF($E$10:$X$98,AT22,$X$10:$X$98)</f>
        <v>0</v>
      </c>
      <c r="AX22" s="1073">
        <f ca="1">FR_U118[[#This Row],[AMOUNT]]</f>
        <v>0</v>
      </c>
      <c r="AY22" s="1074"/>
      <c r="AZ22" s="1074" t="s">
        <v>0</v>
      </c>
      <c r="BA22" s="1081" t="s">
        <v>774</v>
      </c>
      <c r="BB22" s="1081">
        <f t="shared" si="31"/>
        <v>1</v>
      </c>
      <c r="BC22" s="1073">
        <f ca="1">FR_U118[[#This Row],[AMOUNT]]*BB22</f>
        <v>0</v>
      </c>
    </row>
    <row r="23" spans="1:57" s="179" customFormat="1" ht="15.75" customHeight="1">
      <c r="A23" s="177"/>
      <c r="B23" s="624">
        <v>115</v>
      </c>
      <c r="C23" s="194" t="str">
        <f t="shared" si="27"/>
        <v>BK-CDN</v>
      </c>
      <c r="D23" s="183" t="s">
        <v>955</v>
      </c>
      <c r="E23" s="179" t="s">
        <v>34</v>
      </c>
      <c r="F23" s="180">
        <v>45660</v>
      </c>
      <c r="G23" s="1096" t="str">
        <f t="shared" si="14"/>
        <v xml:space="preserve"> </v>
      </c>
      <c r="H23" s="182"/>
      <c r="I23" s="183"/>
      <c r="J23" s="184">
        <v>14.2</v>
      </c>
      <c r="K23" s="1095">
        <f t="shared" si="28"/>
        <v>-5044.5999999999995</v>
      </c>
      <c r="L23" s="1100" t="str" cm="1">
        <f t="array" ref="L23">IFERROR(INDEX(M_TRX_TYPE[#Data], U23, MATCH($C$5,M_TRX_TYPE[#Headers], 0)), "")</f>
        <v>4460 Dividends Cdn</v>
      </c>
      <c r="M23" s="1102" t="str">
        <f t="shared" si="15"/>
        <v/>
      </c>
      <c r="N23" s="1103">
        <f>IF((O23="H"),(MAX($N$8:N22)+1),0)</f>
        <v>0</v>
      </c>
      <c r="O23" s="1204" t="str">
        <f t="shared" si="16"/>
        <v/>
      </c>
      <c r="P23" s="1105" cm="1">
        <f t="array" ref="P23">MAX(IF($D$10:$D$84=D23, $S$10:$S$84))</f>
        <v>1</v>
      </c>
      <c r="Q23" s="1106">
        <f>IF((E23="B"),(MAX($Q$6:Q22)+1),0)</f>
        <v>0</v>
      </c>
      <c r="R23" s="1106">
        <f>IF((AG23&lt;0),(MAX($R$8:$R22)+1),0)</f>
        <v>0</v>
      </c>
      <c r="S23" s="1086">
        <f>IF((M23=""),0,COUNTIF($M$8:M23,M23))</f>
        <v>0</v>
      </c>
      <c r="T23" s="1086" t="str">
        <f>IFERROR(MATCH(M23,M_SYMBOL[SYMBOL],0),"")</f>
        <v/>
      </c>
      <c r="U23" s="1070">
        <f>IFERROR(MATCH(E23,M_TRX_TYPE[TYPE],0),"")</f>
        <v>7</v>
      </c>
      <c r="V23" s="1107">
        <f t="shared" si="17"/>
        <v>0</v>
      </c>
      <c r="W23" s="1095">
        <f t="shared" si="18"/>
        <v>0</v>
      </c>
      <c r="X23" s="1108">
        <f t="shared" si="19"/>
        <v>-14.2</v>
      </c>
      <c r="Y23" s="1109">
        <f>IF(S23=1,0,IF(M23="",0,IF(S23&gt;1,(SUMIF($M$8:Z22,M23,$Z$8:Z22))+(SUMIF($M$8:Z22,M23,$AA$8:AA22)),0)))</f>
        <v>0</v>
      </c>
      <c r="Z23" s="1110">
        <f t="shared" si="20"/>
        <v>0</v>
      </c>
      <c r="AA23" s="1111">
        <f t="shared" si="21"/>
        <v>0</v>
      </c>
      <c r="AB23" s="1112">
        <f>DE_BKCDN[[#This Row],[PREVIOUS
UNITS]]+DE_BKCDN[[#This Row],[SHARES
BOUGHT]]+DE_BKCDN[[#This Row],[SHARES 
SOLD]]</f>
        <v>0</v>
      </c>
      <c r="AC23" s="1113">
        <f>IF(S23=1,0,IF(M23="",0,IF(S23&gt;1,SUMIF($M$8:AE22,M23,$AE$8:AE22)+SUMIF($M$8:AE22,M23,$AD$8:AD22),0)))</f>
        <v>0</v>
      </c>
      <c r="AD23" s="1114">
        <f t="shared" si="22"/>
        <v>0</v>
      </c>
      <c r="AE23" s="1115">
        <f t="shared" si="23"/>
        <v>0</v>
      </c>
      <c r="AF23" s="1116">
        <f t="shared" si="24"/>
        <v>0</v>
      </c>
      <c r="AG23" s="1117">
        <f t="shared" si="25"/>
        <v>0</v>
      </c>
      <c r="AH23" s="1115">
        <f>DE_BKCDN[[#This Row],[PROCEEDS]]-DE_BKCDN[[#This Row],[SOLD]]</f>
        <v>0</v>
      </c>
      <c r="AI23" s="1118" t="str">
        <f t="shared" si="29"/>
        <v/>
      </c>
      <c r="AJ23" s="1119" t="str">
        <f>IF(E23="S", DATEDIF(_xlfn.MAXIFS($F$10:F23, $D$10:D23, D23, $AB$10:AB23, "&gt;0"), F23, "d"), "")</f>
        <v/>
      </c>
      <c r="AK23" s="1118" t="str">
        <f>IF(O23="H",DE_BKCDN[[#This Row],[DATE]],"")</f>
        <v/>
      </c>
      <c r="AL23" s="1120" t="str">
        <f t="shared" si="11"/>
        <v/>
      </c>
      <c r="AM23" s="1121">
        <f t="shared" si="12"/>
        <v>0</v>
      </c>
      <c r="AN23" s="1122">
        <v>0</v>
      </c>
      <c r="AO23" s="1122">
        <f>IFERROR(DE_BKCDN[[#This Row],[MKT]]*DE_BKCDN[[#This Row],[HOLDINGS]],0)</f>
        <v>0</v>
      </c>
      <c r="AP23" s="1123">
        <f t="shared" si="26"/>
        <v>14.2</v>
      </c>
      <c r="AQ23" s="159" t="s">
        <v>0</v>
      </c>
      <c r="AR23" s="159"/>
      <c r="AT23" s="1086" t="s">
        <v>39</v>
      </c>
      <c r="AU23" s="1070">
        <f>IFERROR(MATCH(AT23,M_TRX_TYPE[TYPE],0),"")</f>
        <v>12</v>
      </c>
      <c r="AV23" s="1071" t="str" cm="1">
        <f t="array" ref="AV23">IFERROR(INDEX(M_TRX_TYPE[#Data], AU23, MATCH($C$5, M_TRX_TYPE[#Headers], 0)), "")</f>
        <v>4140 Foreign Taxes Paid</v>
      </c>
      <c r="AW23" s="1087">
        <f ca="1">SUMIF($E$10:$X$98,AT23,$X$10:$X$98)</f>
        <v>13.08</v>
      </c>
      <c r="AX23" s="1073">
        <f ca="1">FR_U118[[#This Row],[AMOUNT]]</f>
        <v>13.08</v>
      </c>
      <c r="AY23" s="1074"/>
      <c r="AZ23" s="1074" t="s">
        <v>1</v>
      </c>
      <c r="BA23" s="1081" t="s">
        <v>774</v>
      </c>
      <c r="BB23" s="1081">
        <f t="shared" si="31"/>
        <v>1</v>
      </c>
      <c r="BC23" s="1073">
        <f ca="1">FR_U118[[#This Row],[AMOUNT]]*BB23</f>
        <v>13.08</v>
      </c>
    </row>
    <row r="24" spans="1:57" s="179" customFormat="1" ht="15.75" customHeight="1">
      <c r="A24" s="177"/>
      <c r="B24" s="1176">
        <v>117</v>
      </c>
      <c r="C24" s="194" t="str">
        <f t="shared" si="27"/>
        <v>BK-CDN</v>
      </c>
      <c r="D24" s="183" t="s">
        <v>810</v>
      </c>
      <c r="E24" s="179" t="s">
        <v>34</v>
      </c>
      <c r="F24" s="180">
        <v>45678</v>
      </c>
      <c r="G24" s="1096" t="str">
        <f t="shared" si="14"/>
        <v xml:space="preserve"> </v>
      </c>
      <c r="H24" s="182"/>
      <c r="I24" s="183"/>
      <c r="J24" s="184">
        <v>52.34</v>
      </c>
      <c r="K24" s="1095">
        <f t="shared" si="28"/>
        <v>-4992.2599999999993</v>
      </c>
      <c r="L24" s="1100" t="str" cm="1">
        <f t="array" ref="L24">IFERROR(INDEX(M_TRX_TYPE[#Data], U24, MATCH($C$5,M_TRX_TYPE[#Headers], 0)), "")</f>
        <v>4460 Dividends Cdn</v>
      </c>
      <c r="M24" s="1102" t="str">
        <f t="shared" si="15"/>
        <v/>
      </c>
      <c r="N24" s="1103">
        <f>IF((O24="H"),(MAX($N$8:N23)+1),0)</f>
        <v>0</v>
      </c>
      <c r="O24" s="1204" t="str">
        <f t="shared" si="16"/>
        <v/>
      </c>
      <c r="P24" s="1105" cm="1">
        <f t="array" ref="P24">MAX(IF($D$10:$D$84=D24, $S$10:$S$84))</f>
        <v>2</v>
      </c>
      <c r="Q24" s="1106">
        <f>IF((E24="B"),(MAX($Q$6:Q23)+1),0)</f>
        <v>0</v>
      </c>
      <c r="R24" s="1106">
        <f>IF((AG24&lt;0),(MAX($R$8:$R23)+1),0)</f>
        <v>0</v>
      </c>
      <c r="S24" s="1086">
        <f>IF((M24=""),0,COUNTIF($M$8:M24,M24))</f>
        <v>0</v>
      </c>
      <c r="T24" s="1086" t="str">
        <f>IFERROR(MATCH(M24,M_SYMBOL[SYMBOL],0),"")</f>
        <v/>
      </c>
      <c r="U24" s="1070">
        <f>IFERROR(MATCH(E24,M_TRX_TYPE[TYPE],0),"")</f>
        <v>7</v>
      </c>
      <c r="V24" s="1107">
        <f t="shared" si="17"/>
        <v>0</v>
      </c>
      <c r="W24" s="1095">
        <f t="shared" si="18"/>
        <v>0</v>
      </c>
      <c r="X24" s="1108">
        <f t="shared" si="19"/>
        <v>-52.34</v>
      </c>
      <c r="Y24" s="1109">
        <f>IF(S24=1,0,IF(M24="",0,IF(S24&gt;1,(SUMIF($M$8:Z23,M24,$Z$8:Z23))+(SUMIF($M$8:Z23,M24,$AA$8:AA23)),0)))</f>
        <v>0</v>
      </c>
      <c r="Z24" s="1110">
        <f t="shared" si="20"/>
        <v>0</v>
      </c>
      <c r="AA24" s="1111">
        <f t="shared" si="21"/>
        <v>0</v>
      </c>
      <c r="AB24" s="1112">
        <f>DE_BKCDN[[#This Row],[PREVIOUS
UNITS]]+DE_BKCDN[[#This Row],[SHARES
BOUGHT]]+DE_BKCDN[[#This Row],[SHARES 
SOLD]]</f>
        <v>0</v>
      </c>
      <c r="AC24" s="1113">
        <f>IF(S24=1,0,IF(M24="",0,IF(S24&gt;1,SUMIF($M$8:AE23,M24,$AE$8:AE23)+SUMIF($M$8:AE23,M24,$AD$8:AD23),0)))</f>
        <v>0</v>
      </c>
      <c r="AD24" s="1114">
        <f t="shared" si="22"/>
        <v>0</v>
      </c>
      <c r="AE24" s="1115">
        <f t="shared" si="23"/>
        <v>0</v>
      </c>
      <c r="AF24" s="1116">
        <f t="shared" si="24"/>
        <v>0</v>
      </c>
      <c r="AG24" s="1117">
        <f t="shared" si="25"/>
        <v>0</v>
      </c>
      <c r="AH24" s="1115">
        <f>DE_BKCDN[[#This Row],[PROCEEDS]]-DE_BKCDN[[#This Row],[SOLD]]</f>
        <v>0</v>
      </c>
      <c r="AI24" s="1118" t="e">
        <f>IF(AB24=0, IF(AND(OR(E24="B", E24="O"), D24=#REF!), F24, ""), IF(#REF!="", F24, IF(D24=#REF!,#REF!, F24)))</f>
        <v>#REF!</v>
      </c>
      <c r="AJ24" s="1119" t="str">
        <f>IF(E24="S", DATEDIF(_xlfn.MAXIFS($F$10:F24, $D$10:D24, D24, $AB$10:AB24, "&gt;0"), F24, "d"), "")</f>
        <v/>
      </c>
      <c r="AK24" s="1118" t="str">
        <f>IF(O24="H",DE_BKCDN[[#This Row],[DATE]],"")</f>
        <v/>
      </c>
      <c r="AL24" s="1120" t="str">
        <f t="shared" si="11"/>
        <v/>
      </c>
      <c r="AM24" s="1121">
        <f t="shared" si="12"/>
        <v>0</v>
      </c>
      <c r="AN24" s="1122">
        <v>0</v>
      </c>
      <c r="AO24" s="1122">
        <f>IFERROR(DE_BKCDN[[#This Row],[MKT]]*DE_BKCDN[[#This Row],[HOLDINGS]],0)</f>
        <v>0</v>
      </c>
      <c r="AP24" s="1123">
        <f t="shared" si="26"/>
        <v>52.34</v>
      </c>
      <c r="AQ24" s="159" t="s">
        <v>0</v>
      </c>
      <c r="AR24" s="159"/>
      <c r="AT24" s="1086" t="s">
        <v>23</v>
      </c>
      <c r="AU24" s="1070">
        <f>IFERROR(MATCH(AT24,M_TRX_TYPE[TYPE],0),"")</f>
        <v>13</v>
      </c>
      <c r="AV24" s="1071" t="str" cm="1">
        <f t="array" ref="AV24">IFERROR(INDEX(M_TRX_TYPE[#Data], AU24, MATCH($C$5, M_TRX_TYPE[#Headers], 0)), "")</f>
        <v>1119 Bank Transfer Account</v>
      </c>
      <c r="AW24" s="1087">
        <f ca="1">SUMIF($E$10:$X$98,AT24,$X$10:$X$98)</f>
        <v>-22661.040000000001</v>
      </c>
      <c r="AX24" s="1073">
        <f ca="1">FR_U118[[#This Row],[AMOUNT]]</f>
        <v>-22661.040000000001</v>
      </c>
      <c r="AY24" s="1074"/>
      <c r="AZ24" s="1074" t="s">
        <v>0</v>
      </c>
      <c r="BA24" s="1081" t="s">
        <v>774</v>
      </c>
      <c r="BB24" s="1081">
        <f t="shared" si="31"/>
        <v>1</v>
      </c>
      <c r="BC24" s="1073">
        <f ca="1">FR_U118[[#This Row],[AMOUNT]]*BB24</f>
        <v>-22661.040000000001</v>
      </c>
    </row>
    <row r="25" spans="1:57" s="179" customFormat="1" ht="15.75" customHeight="1">
      <c r="A25" s="177"/>
      <c r="B25" s="1176">
        <v>118</v>
      </c>
      <c r="C25" s="194" t="str">
        <f t="shared" si="27"/>
        <v>BK-CDN</v>
      </c>
      <c r="D25" s="183" t="s">
        <v>810</v>
      </c>
      <c r="E25" s="179" t="s">
        <v>39</v>
      </c>
      <c r="F25" s="180">
        <v>45678</v>
      </c>
      <c r="G25" s="1096" t="str">
        <f t="shared" si="14"/>
        <v xml:space="preserve"> </v>
      </c>
      <c r="H25" s="182"/>
      <c r="I25" s="183"/>
      <c r="J25" s="184">
        <v>-13.08</v>
      </c>
      <c r="K25" s="1095">
        <f t="shared" si="28"/>
        <v>-5005.3399999999992</v>
      </c>
      <c r="L25" s="1100" t="str" cm="1">
        <f t="array" ref="L25">IFERROR(INDEX(M_TRX_TYPE[#Data], U25, MATCH($C$5,M_TRX_TYPE[#Headers], 0)), "")</f>
        <v>4140 Foreign Taxes Paid</v>
      </c>
      <c r="M25" s="1102" t="str">
        <f t="shared" si="15"/>
        <v/>
      </c>
      <c r="N25" s="1103">
        <f>IF((O25="H"),(MAX($N$8:N24)+1),0)</f>
        <v>0</v>
      </c>
      <c r="O25" s="1204" t="str">
        <f t="shared" si="16"/>
        <v/>
      </c>
      <c r="P25" s="1105" cm="1">
        <f t="array" ref="P25">MAX(IF($D$10:$D$84=D25, $S$10:$S$84))</f>
        <v>2</v>
      </c>
      <c r="Q25" s="1106">
        <f>IF((E25="B"),(MAX($Q$6:Q24)+1),0)</f>
        <v>0</v>
      </c>
      <c r="R25" s="1106">
        <f>IF((AG25&lt;0),(MAX($R$8:$R24)+1),0)</f>
        <v>0</v>
      </c>
      <c r="S25" s="1086">
        <f>IF((M25=""),0,COUNTIF($M$8:M25,M25))</f>
        <v>0</v>
      </c>
      <c r="T25" s="1086" t="str">
        <f>IFERROR(MATCH(M25,M_SYMBOL[SYMBOL],0),"")</f>
        <v/>
      </c>
      <c r="U25" s="1070">
        <f>IFERROR(MATCH(E25,M_TRX_TYPE[TYPE],0),"")</f>
        <v>12</v>
      </c>
      <c r="V25" s="1107">
        <f t="shared" si="17"/>
        <v>0</v>
      </c>
      <c r="W25" s="1095">
        <f t="shared" si="18"/>
        <v>0</v>
      </c>
      <c r="X25" s="1108">
        <f t="shared" si="19"/>
        <v>13.08</v>
      </c>
      <c r="Y25" s="1109">
        <f>IF(S25=1,0,IF(M25="",0,IF(S25&gt;1,(SUMIF($M$8:Z24,M25,$Z$8:Z24))+(SUMIF($M$8:Z24,M25,$AA$8:AA24)),0)))</f>
        <v>0</v>
      </c>
      <c r="Z25" s="1110">
        <f t="shared" si="20"/>
        <v>0</v>
      </c>
      <c r="AA25" s="1111">
        <f t="shared" si="21"/>
        <v>0</v>
      </c>
      <c r="AB25" s="1112">
        <f>DE_BKCDN[[#This Row],[PREVIOUS
UNITS]]+DE_BKCDN[[#This Row],[SHARES
BOUGHT]]+DE_BKCDN[[#This Row],[SHARES 
SOLD]]</f>
        <v>0</v>
      </c>
      <c r="AC25" s="1113">
        <f>IF(S25=1,0,IF(M25="",0,IF(S25&gt;1,SUMIF($M$8:AE24,M25,$AE$8:AE24)+SUMIF($M$8:AE24,M25,$AD$8:AD24),0)))</f>
        <v>0</v>
      </c>
      <c r="AD25" s="1114">
        <f t="shared" si="22"/>
        <v>0</v>
      </c>
      <c r="AE25" s="1115">
        <f t="shared" si="23"/>
        <v>0</v>
      </c>
      <c r="AF25" s="1116">
        <f t="shared" si="24"/>
        <v>0</v>
      </c>
      <c r="AG25" s="1117">
        <f t="shared" si="25"/>
        <v>0</v>
      </c>
      <c r="AH25" s="1115">
        <f>DE_BKCDN[[#This Row],[PROCEEDS]]-DE_BKCDN[[#This Row],[SOLD]]</f>
        <v>0</v>
      </c>
      <c r="AI25" s="1118" t="str">
        <f t="shared" si="29"/>
        <v/>
      </c>
      <c r="AJ25" s="1119" t="str">
        <f>IF(E25="S", DATEDIF(_xlfn.MAXIFS($F$10:F25, $D$10:D25, D25, $AB$10:AB25, "&gt;0"), F25, "d"), "")</f>
        <v/>
      </c>
      <c r="AK25" s="1118" t="str">
        <f>IF(O25="H",DE_BKCDN[[#This Row],[DATE]],"")</f>
        <v/>
      </c>
      <c r="AL25" s="1120" t="str">
        <f t="shared" si="11"/>
        <v/>
      </c>
      <c r="AM25" s="1121">
        <f t="shared" si="12"/>
        <v>0</v>
      </c>
      <c r="AN25" s="1122">
        <v>0</v>
      </c>
      <c r="AO25" s="1122">
        <f>IFERROR(DE_BKCDN[[#This Row],[MKT]]*DE_BKCDN[[#This Row],[HOLDINGS]],0)</f>
        <v>0</v>
      </c>
      <c r="AP25" s="1123" t="str">
        <f t="shared" si="26"/>
        <v xml:space="preserve"> </v>
      </c>
      <c r="AQ25" s="159" t="s">
        <v>0</v>
      </c>
      <c r="AR25" s="159"/>
      <c r="AT25" s="1086" t="s">
        <v>239</v>
      </c>
      <c r="AU25" s="1070">
        <f>IFERROR(MATCH(AT25,M_TRX_TYPE[TYPE],0),"")</f>
        <v>18</v>
      </c>
      <c r="AV25" s="1071" t="str" cm="1">
        <f t="array" ref="AV25">IFERROR(INDEX(M_TRX_TYPE[#Data], AU25, MATCH($C$5, M_TRX_TYPE[#Headers], 0)), "")</f>
        <v>4156 Cost of CDN Securities Sold</v>
      </c>
      <c r="AW25" s="1087">
        <f ca="1">SUMIF($E$10:$X$98,AT25,$X$10:$X$98)*-1</f>
        <v>-109667.00999999998</v>
      </c>
      <c r="AX25" s="1073">
        <v>0</v>
      </c>
      <c r="AY25" s="1074"/>
      <c r="AZ25" s="1074" t="s">
        <v>0</v>
      </c>
      <c r="BA25" s="1081" t="s">
        <v>774</v>
      </c>
      <c r="BB25" s="1081">
        <f t="shared" si="31"/>
        <v>1</v>
      </c>
      <c r="BC25" s="1073">
        <f ca="1">FR_U118[[#This Row],[AMOUNT]]*BB25</f>
        <v>-109667.00999999998</v>
      </c>
    </row>
    <row r="26" spans="1:57" s="179" customFormat="1" ht="15.75" customHeight="1">
      <c r="A26" s="177"/>
      <c r="B26" s="1176">
        <v>119</v>
      </c>
      <c r="C26" s="194" t="str">
        <f t="shared" si="27"/>
        <v>BK-CDN</v>
      </c>
      <c r="D26" s="183" t="s">
        <v>782</v>
      </c>
      <c r="E26" s="179" t="s">
        <v>4</v>
      </c>
      <c r="F26" s="180">
        <v>45678</v>
      </c>
      <c r="G26" s="1096">
        <f t="shared" si="14"/>
        <v>198.29426666666666</v>
      </c>
      <c r="H26" s="182">
        <v>-75</v>
      </c>
      <c r="I26" s="183"/>
      <c r="J26" s="184">
        <v>14872.07</v>
      </c>
      <c r="K26" s="1095">
        <f t="shared" si="28"/>
        <v>9866.73</v>
      </c>
      <c r="L26" s="1100" t="str" cm="1">
        <f t="array" ref="L26">IFERROR(INDEX(M_TRX_TYPE[#Data], U26, MATCH($C$5,M_TRX_TYPE[#Headers], 0)), "")</f>
        <v xml:space="preserve">4023 Sale of CDN Securities </v>
      </c>
      <c r="M26" s="1102" t="str">
        <f t="shared" si="15"/>
        <v>MS</v>
      </c>
      <c r="N26" s="1103">
        <f>IF((O26="H"),(MAX($N$8:N25)+1),0)</f>
        <v>0</v>
      </c>
      <c r="O26" s="1204" t="str">
        <f t="shared" si="16"/>
        <v/>
      </c>
      <c r="P26" s="1105" cm="1">
        <f t="array" ref="P26">MAX(IF($D$10:$D$84=D26, $S$10:$S$84))</f>
        <v>2</v>
      </c>
      <c r="Q26" s="1106">
        <f>IF((E26="B"),(MAX($Q$6:Q25)+1),0)</f>
        <v>0</v>
      </c>
      <c r="R26" s="1106">
        <f>IF((AG26&lt;0),(MAX($R$8:$R25)+1),0)</f>
        <v>2</v>
      </c>
      <c r="S26" s="1086">
        <f>IF((M26=""),0,COUNTIF($M$8:M26,M26))</f>
        <v>2</v>
      </c>
      <c r="T26" s="1086">
        <f>IFERROR(MATCH(M26,M_SYMBOL[SYMBOL],0),"")</f>
        <v>153</v>
      </c>
      <c r="U26" s="1070">
        <f>IFERROR(MATCH(E26,M_TRX_TYPE[TYPE],0),"")</f>
        <v>4</v>
      </c>
      <c r="V26" s="1107">
        <f t="shared" si="17"/>
        <v>0</v>
      </c>
      <c r="W26" s="1095">
        <f t="shared" si="18"/>
        <v>0</v>
      </c>
      <c r="X26" s="1108">
        <f t="shared" si="19"/>
        <v>-14872.07</v>
      </c>
      <c r="Y26" s="1109">
        <f ca="1">IF(S26=1,0,IF(M26="",0,IF(S26&gt;1,(SUMIF($M$8:Z25,M26,$Z$8:Z25))+(SUMIF($M$8:Z25,M26,$AA$8:AA25)),0)))</f>
        <v>75</v>
      </c>
      <c r="Z26" s="1110">
        <f t="shared" si="20"/>
        <v>0</v>
      </c>
      <c r="AA26" s="1111">
        <f t="shared" si="21"/>
        <v>-75</v>
      </c>
      <c r="AB26" s="1112">
        <f ca="1">DE_BKCDN[[#This Row],[PREVIOUS
UNITS]]+DE_BKCDN[[#This Row],[SHARES
BOUGHT]]+DE_BKCDN[[#This Row],[SHARES 
SOLD]]</f>
        <v>0</v>
      </c>
      <c r="AC26" s="1113">
        <f ca="1">IF(S26=1,0,IF(M26="",0,IF(S26&gt;1,SUMIF($M$8:AE25,M26,$AE$8:AE25)+SUMIF($M$8:AE25,M26,$AD$8:AD25),0)))</f>
        <v>13625.8</v>
      </c>
      <c r="AD26" s="1114">
        <f t="shared" si="22"/>
        <v>0</v>
      </c>
      <c r="AE26" s="1115">
        <f t="shared" ca="1" si="23"/>
        <v>-13625.800000000001</v>
      </c>
      <c r="AF26" s="1116">
        <f t="shared" ca="1" si="24"/>
        <v>0</v>
      </c>
      <c r="AG26" s="1117">
        <f t="shared" si="25"/>
        <v>-14872.07</v>
      </c>
      <c r="AH26" s="1115">
        <f ca="1">DE_BKCDN[[#This Row],[PROCEEDS]]-DE_BKCDN[[#This Row],[SOLD]]</f>
        <v>-1246.2699999999986</v>
      </c>
      <c r="AI26" s="1118" t="str">
        <f t="shared" ca="1" si="29"/>
        <v/>
      </c>
      <c r="AJ26" s="1119">
        <f ca="1">IF(E26="S", DATEDIF(_xlfn.MAXIFS($F$10:F26, $D$10:D26, D26, $AB$10:AB26, "&gt;0"), F26, "d"), "")</f>
        <v>7</v>
      </c>
      <c r="AK26" s="1118" t="str">
        <f>IF(O26="H",DE_BKCDN[[#This Row],[DATE]],"")</f>
        <v/>
      </c>
      <c r="AL26" s="1120" t="str">
        <f t="shared" si="11"/>
        <v/>
      </c>
      <c r="AM26" s="1121">
        <f t="shared" si="12"/>
        <v>0</v>
      </c>
      <c r="AN26" s="1122">
        <v>0</v>
      </c>
      <c r="AO26" s="1122">
        <f>IFERROR(DE_BKCDN[[#This Row],[MKT]]*DE_BKCDN[[#This Row],[HOLDINGS]],0)</f>
        <v>0</v>
      </c>
      <c r="AP26" s="1123" t="str">
        <f t="shared" si="26"/>
        <v xml:space="preserve"> </v>
      </c>
      <c r="AQ26" s="159" t="s">
        <v>0</v>
      </c>
      <c r="AR26" s="159"/>
      <c r="AT26" s="1086" t="s">
        <v>36</v>
      </c>
      <c r="AU26" s="1070">
        <f>IFERROR(MATCH(AT26,M_TRX_TYPE[TYPE],0),"")</f>
        <v>16</v>
      </c>
      <c r="AV26" s="1071" t="str" cm="1">
        <f t="array" ref="AV26">IFERROR(INDEX(M_TRX_TYPE[#Data], AU26, MATCH($C$5, M_TRX_TYPE[#Headers], 0)), "")</f>
        <v>1119 Bank Transfer Account</v>
      </c>
      <c r="AW26" s="1087">
        <f ca="1">SUMIF($E$10:$X$98,AT26,$X$10:$X$98)*-1</f>
        <v>0</v>
      </c>
      <c r="AX26" s="1073">
        <f ca="1">FR_U118[[#This Row],[AMOUNT]]</f>
        <v>0</v>
      </c>
      <c r="AY26" s="1074"/>
      <c r="AZ26" s="1074" t="s">
        <v>0</v>
      </c>
      <c r="BA26" s="1081" t="s">
        <v>774</v>
      </c>
      <c r="BB26" s="1081">
        <f t="shared" si="31"/>
        <v>1</v>
      </c>
      <c r="BC26" s="1073">
        <f ca="1">FR_U118[[#This Row],[AMOUNT]]*BB26</f>
        <v>0</v>
      </c>
      <c r="BE26" s="185"/>
    </row>
    <row r="27" spans="1:57" s="179" customFormat="1" ht="15.75" customHeight="1">
      <c r="A27" s="177"/>
      <c r="B27" s="1176">
        <v>120</v>
      </c>
      <c r="C27" s="194" t="str">
        <f t="shared" si="27"/>
        <v>BK-CDN</v>
      </c>
      <c r="D27" s="178" t="s">
        <v>769</v>
      </c>
      <c r="E27" s="179" t="s">
        <v>3</v>
      </c>
      <c r="F27" s="180">
        <v>45679</v>
      </c>
      <c r="G27" s="1096">
        <f t="shared" si="14"/>
        <v>333.58511111111113</v>
      </c>
      <c r="H27" s="182">
        <v>45</v>
      </c>
      <c r="I27" s="183">
        <v>0</v>
      </c>
      <c r="J27" s="184">
        <v>-15011.33</v>
      </c>
      <c r="K27" s="1095">
        <f t="shared" si="28"/>
        <v>-5144.6000000000004</v>
      </c>
      <c r="L27" s="1100" t="str" cm="1">
        <f t="array" ref="L27">IFERROR(INDEX(M_TRX_TYPE[#Data], U27, MATCH($C$5,M_TRX_TYPE[#Headers], 0)), "")</f>
        <v>1131 Broker CDN Securities</v>
      </c>
      <c r="M27" s="1102" t="str">
        <f t="shared" si="15"/>
        <v>AMZN</v>
      </c>
      <c r="N27" s="1103">
        <f>IF((O27="H"),(MAX($N$8:N26)+1),0)</f>
        <v>0</v>
      </c>
      <c r="O27" s="1204" t="str">
        <f t="shared" si="16"/>
        <v/>
      </c>
      <c r="P27" s="1105" cm="1">
        <f t="array" ref="P27">MAX(IF($D$10:$D$84=D27, $S$10:$S$84))</f>
        <v>2</v>
      </c>
      <c r="Q27" s="1106">
        <f>IF((E27="B"),(MAX($Q$6:Q26)+1),0)</f>
        <v>3</v>
      </c>
      <c r="R27" s="1106">
        <f>IF((AG27&lt;0),(MAX($R$8:$R26)+1),0)</f>
        <v>0</v>
      </c>
      <c r="S27" s="1086">
        <f>IF((M27=""),0,COUNTIF($M$8:M27,M27))</f>
        <v>1</v>
      </c>
      <c r="T27" s="1086">
        <f>IFERROR(MATCH(M27,M_SYMBOL[SYMBOL],0),"")</f>
        <v>26</v>
      </c>
      <c r="U27" s="1070">
        <f>IFERROR(MATCH(E27,M_TRX_TYPE[TYPE],0),"")</f>
        <v>3</v>
      </c>
      <c r="V27" s="1107">
        <f t="shared" si="17"/>
        <v>0</v>
      </c>
      <c r="W27" s="1095">
        <f t="shared" si="18"/>
        <v>0</v>
      </c>
      <c r="X27" s="1108">
        <f t="shared" si="19"/>
        <v>15011.33</v>
      </c>
      <c r="Y27" s="1109">
        <f>IF(S27=1,0,IF(M27="",0,IF(S27&gt;1,(SUMIF($M$8:Z26,M27,$Z$8:Z26))+(SUMIF($M$8:Z26,M27,$AA$8:AA26)),0)))</f>
        <v>0</v>
      </c>
      <c r="Z27" s="1110">
        <f t="shared" si="20"/>
        <v>45</v>
      </c>
      <c r="AA27" s="1111">
        <f t="shared" si="21"/>
        <v>0</v>
      </c>
      <c r="AB27" s="1112">
        <f>DE_BKCDN[[#This Row],[PREVIOUS
UNITS]]+DE_BKCDN[[#This Row],[SHARES
BOUGHT]]+DE_BKCDN[[#This Row],[SHARES 
SOLD]]</f>
        <v>45</v>
      </c>
      <c r="AC27" s="1113">
        <f>IF(S27=1,0,IF(M27="",0,IF(S27&gt;1,SUMIF($M$8:AE26,M27,$AE$8:AE26)+SUMIF($M$8:AE26,M27,$AD$8:AD26),0)))</f>
        <v>0</v>
      </c>
      <c r="AD27" s="1114">
        <f t="shared" si="22"/>
        <v>15011.33</v>
      </c>
      <c r="AE27" s="1115">
        <f t="shared" si="23"/>
        <v>0</v>
      </c>
      <c r="AF27" s="1116">
        <f t="shared" si="24"/>
        <v>15011.33</v>
      </c>
      <c r="AG27" s="1117">
        <f t="shared" si="25"/>
        <v>0</v>
      </c>
      <c r="AH27" s="1115">
        <f>DE_BKCDN[[#This Row],[PROCEEDS]]-DE_BKCDN[[#This Row],[SOLD]]</f>
        <v>0</v>
      </c>
      <c r="AI27" s="1118">
        <f t="shared" si="29"/>
        <v>45679</v>
      </c>
      <c r="AJ27" s="1119" t="str">
        <f>IF(E27="S", DATEDIF(_xlfn.MAXIFS($F$10:F27, $D$10:D27, D27, $AB$10:AB27, "&gt;0"), F27, "d"), "")</f>
        <v/>
      </c>
      <c r="AK27" s="1118" t="str">
        <f>IF(O27="H",DE_BKCDN[[#This Row],[DATE]],"")</f>
        <v/>
      </c>
      <c r="AL27" s="1120" t="str">
        <f t="shared" si="11"/>
        <v/>
      </c>
      <c r="AM27" s="1121">
        <f t="shared" si="12"/>
        <v>0</v>
      </c>
      <c r="AN27" s="1122">
        <v>0</v>
      </c>
      <c r="AO27" s="1122">
        <f>IFERROR(DE_BKCDN[[#This Row],[MKT]]*DE_BKCDN[[#This Row],[HOLDINGS]],0)</f>
        <v>0</v>
      </c>
      <c r="AP27" s="1123" t="str">
        <f t="shared" si="26"/>
        <v xml:space="preserve"> </v>
      </c>
      <c r="AQ27" s="159" t="s">
        <v>0</v>
      </c>
      <c r="AR27" s="159"/>
      <c r="AT27" s="1086" t="s">
        <v>33</v>
      </c>
      <c r="AU27" s="1070">
        <f>IFERROR(MATCH(AT27,M_TRX_TYPE[TYPE],0),"")</f>
        <v>6</v>
      </c>
      <c r="AV27" s="1071" t="str" cm="1">
        <f t="array" ref="AV27">IFERROR(INDEX(M_TRX_TYPE[#Data], AU27, MATCH($C$5, M_TRX_TYPE[#Headers], 0)), "")</f>
        <v xml:space="preserve">2990 Due from a shareholder </v>
      </c>
      <c r="AW27" s="1087">
        <f ca="1">SUMIF($E$10:$X$98,AT27,$X$10:$X$98)*-1</f>
        <v>200</v>
      </c>
      <c r="AX27" s="1073">
        <f ca="1">FR_U118[[#This Row],[AMOUNT]]</f>
        <v>200</v>
      </c>
      <c r="AY27" s="1074"/>
      <c r="AZ27" s="1074" t="s">
        <v>0</v>
      </c>
      <c r="BA27" s="1081" t="s">
        <v>774</v>
      </c>
      <c r="BB27" s="1081">
        <f t="shared" si="31"/>
        <v>1</v>
      </c>
      <c r="BC27" s="1073">
        <f ca="1">FR_U118[[#This Row],[AMOUNT]]*BB27</f>
        <v>200</v>
      </c>
    </row>
    <row r="28" spans="1:57" s="179" customFormat="1" ht="15.75" customHeight="1">
      <c r="A28" s="177"/>
      <c r="B28" s="1176">
        <v>121</v>
      </c>
      <c r="C28" s="194" t="str">
        <f t="shared" si="27"/>
        <v>BK-CDN</v>
      </c>
      <c r="D28" s="178" t="s">
        <v>965</v>
      </c>
      <c r="E28" s="179" t="s">
        <v>4</v>
      </c>
      <c r="F28" s="180">
        <v>45686</v>
      </c>
      <c r="G28" s="1096">
        <f t="shared" si="14"/>
        <v>41.222499999999997</v>
      </c>
      <c r="H28" s="182">
        <v>-4</v>
      </c>
      <c r="I28" s="183"/>
      <c r="J28" s="184">
        <v>164.89</v>
      </c>
      <c r="K28" s="1095">
        <f t="shared" si="28"/>
        <v>-4979.71</v>
      </c>
      <c r="L28" s="1100" t="str" cm="1">
        <f t="array" ref="L28">IFERROR(INDEX(M_TRX_TYPE[#Data], U28, MATCH($C$5,M_TRX_TYPE[#Headers], 0)), "")</f>
        <v xml:space="preserve">4023 Sale of CDN Securities </v>
      </c>
      <c r="M28" s="1102" t="str">
        <f t="shared" si="15"/>
        <v>MFC</v>
      </c>
      <c r="N28" s="1103">
        <f>IF((O28="H"),(MAX($N$8:N27)+1),0)</f>
        <v>0</v>
      </c>
      <c r="O28" s="1204" t="str">
        <f t="shared" si="16"/>
        <v/>
      </c>
      <c r="P28" s="1105" cm="1">
        <f t="array" ref="P28">MAX(IF($D$10:$D$84=D28, $S$10:$S$84))</f>
        <v>2</v>
      </c>
      <c r="Q28" s="1106">
        <f>IF((E28="B"),(MAX($Q$6:Q27)+1),0)</f>
        <v>0</v>
      </c>
      <c r="R28" s="1106">
        <f>IF((AG28&lt;0),(MAX($R$8:$R27)+1),0)</f>
        <v>3</v>
      </c>
      <c r="S28" s="1086">
        <f>IF((M28=""),0,COUNTIF($M$8:M28,M28))</f>
        <v>2</v>
      </c>
      <c r="T28" s="1086">
        <f>IFERROR(MATCH(M28,M_SYMBOL[SYMBOL],0),"")</f>
        <v>144</v>
      </c>
      <c r="U28" s="1070">
        <f>IFERROR(MATCH(E28,M_TRX_TYPE[TYPE],0),"")</f>
        <v>4</v>
      </c>
      <c r="V28" s="1107">
        <f t="shared" si="17"/>
        <v>0</v>
      </c>
      <c r="W28" s="1095">
        <f t="shared" si="18"/>
        <v>0</v>
      </c>
      <c r="X28" s="1108">
        <f t="shared" si="19"/>
        <v>-164.89</v>
      </c>
      <c r="Y28" s="1109">
        <f ca="1">IF(S28=1,0,IF(M28="",0,IF(S28&gt;1,(SUMIF($M$8:Z27,M28,$Z$8:Z27))+(SUMIF($M$8:Z27,M28,$AA$8:AA27)),0)))</f>
        <v>4</v>
      </c>
      <c r="Z28" s="1110">
        <f t="shared" si="20"/>
        <v>0</v>
      </c>
      <c r="AA28" s="1111">
        <f t="shared" si="21"/>
        <v>-4</v>
      </c>
      <c r="AB28" s="1112">
        <f ca="1">DE_BKCDN[[#This Row],[PREVIOUS
UNITS]]+DE_BKCDN[[#This Row],[SHARES
BOUGHT]]+DE_BKCDN[[#This Row],[SHARES 
SOLD]]</f>
        <v>0</v>
      </c>
      <c r="AC28" s="1113">
        <f ca="1">IF(S28=1,0,IF(M28="",0,IF(S28&gt;1,SUMIF($M$8:AE27,M28,$AE$8:AE27)+SUMIF($M$8:AE27,M28,$AD$8:AD27),0)))</f>
        <v>94.98</v>
      </c>
      <c r="AD28" s="1114">
        <f t="shared" si="22"/>
        <v>0</v>
      </c>
      <c r="AE28" s="1115">
        <f t="shared" ca="1" si="23"/>
        <v>-94.98</v>
      </c>
      <c r="AF28" s="1116">
        <f t="shared" ca="1" si="24"/>
        <v>0</v>
      </c>
      <c r="AG28" s="1117">
        <f t="shared" si="25"/>
        <v>-164.89</v>
      </c>
      <c r="AH28" s="1115">
        <f ca="1">DE_BKCDN[[#This Row],[PROCEEDS]]-DE_BKCDN[[#This Row],[SOLD]]</f>
        <v>-69.909999999999982</v>
      </c>
      <c r="AI28" s="1118" t="str">
        <f t="shared" ca="1" si="29"/>
        <v/>
      </c>
      <c r="AJ28" s="1119">
        <f ca="1">IF(E28="S", DATEDIF(_xlfn.MAXIFS($F$10:F28, $D$10:D28, D28, $AB$10:AB28, "&gt;0"), F28, "d"), "")</f>
        <v>37</v>
      </c>
      <c r="AK28" s="1118" t="str">
        <f>IF(O28="H",DE_BKCDN[[#This Row],[DATE]],"")</f>
        <v/>
      </c>
      <c r="AL28" s="1120" t="str">
        <f t="shared" si="11"/>
        <v/>
      </c>
      <c r="AM28" s="1121">
        <f t="shared" si="12"/>
        <v>0</v>
      </c>
      <c r="AN28" s="1122">
        <v>0</v>
      </c>
      <c r="AO28" s="1122">
        <f>IFERROR(DE_BKCDN[[#This Row],[MKT]]*DE_BKCDN[[#This Row],[HOLDINGS]],0)</f>
        <v>0</v>
      </c>
      <c r="AP28" s="1123" t="str">
        <f t="shared" si="26"/>
        <v xml:space="preserve"> </v>
      </c>
      <c r="AQ28" s="159" t="s">
        <v>0</v>
      </c>
      <c r="AR28" s="159"/>
      <c r="AT28" s="1086"/>
      <c r="AU28" s="1086"/>
      <c r="AV28" s="1082"/>
      <c r="AW28" s="1087">
        <f ca="1">SUBTOTAL(109,AW13:AW27)</f>
        <v>-50698.029999999992</v>
      </c>
      <c r="AX28" s="1087">
        <f ca="1">SUBTOTAL(109,AX13:AX27)</f>
        <v>-18996.249999999964</v>
      </c>
      <c r="AY28" s="1074"/>
      <c r="AZ28" s="1074"/>
      <c r="BA28" s="1081"/>
      <c r="BB28" s="1081"/>
      <c r="BC28" s="1087">
        <f ca="1">SUBTOTAL(109,BC13:BC27)</f>
        <v>-50698.029999999992</v>
      </c>
    </row>
    <row r="29" spans="1:57" s="179" customFormat="1" ht="15.75" customHeight="1">
      <c r="A29" s="177"/>
      <c r="B29" s="1176">
        <v>122</v>
      </c>
      <c r="C29" s="194" t="str">
        <f t="shared" si="27"/>
        <v>BK-CDN</v>
      </c>
      <c r="D29" s="178" t="s">
        <v>803</v>
      </c>
      <c r="E29" s="179" t="s">
        <v>3</v>
      </c>
      <c r="F29" s="180">
        <v>45686</v>
      </c>
      <c r="G29" s="1096">
        <f t="shared" si="14"/>
        <v>274.52681818181821</v>
      </c>
      <c r="H29" s="182">
        <v>44</v>
      </c>
      <c r="I29" s="183"/>
      <c r="J29" s="184">
        <v>-12079.18</v>
      </c>
      <c r="K29" s="1095">
        <f t="shared" si="28"/>
        <v>-17058.89</v>
      </c>
      <c r="L29" s="1100" t="str" cm="1">
        <f t="array" ref="L29">IFERROR(INDEX(M_TRX_TYPE[#Data], U29, MATCH($C$5,M_TRX_TYPE[#Headers], 0)), "")</f>
        <v>1131 Broker CDN Securities</v>
      </c>
      <c r="M29" s="1102" t="str">
        <f t="shared" si="15"/>
        <v>AMT</v>
      </c>
      <c r="N29" s="1103">
        <f>IF((O29="H"),(MAX($N$8:N28)+1),0)</f>
        <v>0</v>
      </c>
      <c r="O29" s="1204" t="str">
        <f t="shared" si="16"/>
        <v/>
      </c>
      <c r="P29" s="1105" cm="1">
        <f t="array" ref="P29">MAX(IF($D$10:$D$84=D29, $S$10:$S$84))</f>
        <v>2</v>
      </c>
      <c r="Q29" s="1106">
        <f>IF((E29="B"),(MAX($Q$6:Q28)+1),0)</f>
        <v>4</v>
      </c>
      <c r="R29" s="1106">
        <f>IF((AG29&lt;0),(MAX($R$8:$R28)+1),0)</f>
        <v>0</v>
      </c>
      <c r="S29" s="1086">
        <f>IF((M29=""),0,COUNTIF($M$8:M29,M29))</f>
        <v>1</v>
      </c>
      <c r="T29" s="1086">
        <f>IFERROR(MATCH(M29,M_SYMBOL[SYMBOL],0),"")</f>
        <v>30</v>
      </c>
      <c r="U29" s="1070">
        <f>IFERROR(MATCH(E29,M_TRX_TYPE[TYPE],0),"")</f>
        <v>3</v>
      </c>
      <c r="V29" s="1107">
        <f t="shared" si="17"/>
        <v>0</v>
      </c>
      <c r="W29" s="1095">
        <f t="shared" si="18"/>
        <v>0</v>
      </c>
      <c r="X29" s="1108">
        <f t="shared" si="19"/>
        <v>12079.18</v>
      </c>
      <c r="Y29" s="1109">
        <f>IF(S29=1,0,IF(M29="",0,IF(S29&gt;1,(SUMIF($M$8:Z28,M29,$Z$8:Z28))+(SUMIF($M$8:Z28,M29,$AA$8:AA28)),0)))</f>
        <v>0</v>
      </c>
      <c r="Z29" s="1110">
        <f t="shared" si="20"/>
        <v>44</v>
      </c>
      <c r="AA29" s="1111">
        <f t="shared" si="21"/>
        <v>0</v>
      </c>
      <c r="AB29" s="1112">
        <f>DE_BKCDN[[#This Row],[PREVIOUS
UNITS]]+DE_BKCDN[[#This Row],[SHARES
BOUGHT]]+DE_BKCDN[[#This Row],[SHARES 
SOLD]]</f>
        <v>44</v>
      </c>
      <c r="AC29" s="1113">
        <f>IF(S29=1,0,IF(M29="",0,IF(S29&gt;1,SUMIF($M$8:AE28,M29,$AE$8:AE28)+SUMIF($M$8:AE28,M29,$AD$8:AD28),0)))</f>
        <v>0</v>
      </c>
      <c r="AD29" s="1114">
        <f t="shared" si="22"/>
        <v>12079.18</v>
      </c>
      <c r="AE29" s="1115">
        <f t="shared" si="23"/>
        <v>0</v>
      </c>
      <c r="AF29" s="1116">
        <f t="shared" si="24"/>
        <v>12079.18</v>
      </c>
      <c r="AG29" s="1117">
        <f t="shared" si="25"/>
        <v>0</v>
      </c>
      <c r="AH29" s="1115">
        <f>DE_BKCDN[[#This Row],[PROCEEDS]]-DE_BKCDN[[#This Row],[SOLD]]</f>
        <v>0</v>
      </c>
      <c r="AI29" s="1118">
        <f t="shared" si="29"/>
        <v>45686</v>
      </c>
      <c r="AJ29" s="1119" t="str">
        <f>IF(E29="S", DATEDIF(_xlfn.MAXIFS($F$10:F29, $D$10:D29, D29, $AB$10:AB29, "&gt;0"), F29, "d"), "")</f>
        <v/>
      </c>
      <c r="AK29" s="1118" t="str">
        <f>IF(O29="H",DE_BKCDN[[#This Row],[DATE]],"")</f>
        <v/>
      </c>
      <c r="AL29" s="1120" t="str">
        <f t="shared" si="11"/>
        <v/>
      </c>
      <c r="AM29" s="1121">
        <f t="shared" si="12"/>
        <v>0</v>
      </c>
      <c r="AN29" s="1122">
        <v>0</v>
      </c>
      <c r="AO29" s="1122">
        <f>IFERROR(DE_BKCDN[[#This Row],[MKT]]*DE_BKCDN[[#This Row],[HOLDINGS]],0)</f>
        <v>0</v>
      </c>
      <c r="AP29" s="1123" t="str">
        <f t="shared" si="26"/>
        <v xml:space="preserve"> </v>
      </c>
      <c r="AQ29" s="159" t="s">
        <v>0</v>
      </c>
      <c r="AR29" s="159"/>
      <c r="AT29" s="1082" t="s">
        <v>781</v>
      </c>
      <c r="AU29" s="1082" t="s">
        <v>28</v>
      </c>
      <c r="AV29" s="1082" t="s">
        <v>0</v>
      </c>
      <c r="AW29" s="1078"/>
      <c r="AX29" s="1073"/>
      <c r="AY29" s="1074" t="s">
        <v>0</v>
      </c>
      <c r="AZ29" s="1074"/>
      <c r="BA29" s="1081"/>
      <c r="BB29" s="1081"/>
      <c r="BC29" s="1073"/>
    </row>
    <row r="30" spans="1:57" s="179" customFormat="1" ht="15.75" customHeight="1" thickBot="1">
      <c r="A30" s="177"/>
      <c r="B30" s="1176">
        <v>123</v>
      </c>
      <c r="C30" s="194" t="str">
        <f t="shared" si="27"/>
        <v>BK-CDN</v>
      </c>
      <c r="D30" s="178" t="s">
        <v>804</v>
      </c>
      <c r="E30" s="179" t="s">
        <v>3</v>
      </c>
      <c r="F30" s="180">
        <v>45686</v>
      </c>
      <c r="G30" s="1096">
        <f t="shared" si="14"/>
        <v>221.36500000000001</v>
      </c>
      <c r="H30" s="182">
        <v>16</v>
      </c>
      <c r="I30" s="183"/>
      <c r="J30" s="184">
        <v>-3541.84</v>
      </c>
      <c r="K30" s="1095">
        <f t="shared" si="28"/>
        <v>-20600.73</v>
      </c>
      <c r="L30" s="1100" t="str" cm="1">
        <f t="array" ref="L30">IFERROR(INDEX(M_TRX_TYPE[#Data], U30, MATCH($C$5,M_TRX_TYPE[#Headers], 0)), "")</f>
        <v>1131 Broker CDN Securities</v>
      </c>
      <c r="M30" s="1102" t="str">
        <f t="shared" si="15"/>
        <v>PEP</v>
      </c>
      <c r="N30" s="1103">
        <f>IF((O30="H"),(MAX($N$8:N29)+1),0)</f>
        <v>0</v>
      </c>
      <c r="O30" s="1204" t="str">
        <f t="shared" si="16"/>
        <v/>
      </c>
      <c r="P30" s="1105" cm="1">
        <f t="array" ref="P30">MAX(IF($D$10:$D$84=D30, $S$10:$S$84))</f>
        <v>2</v>
      </c>
      <c r="Q30" s="1106">
        <f>IF((E30="B"),(MAX($Q$6:Q29)+1),0)</f>
        <v>5</v>
      </c>
      <c r="R30" s="1106">
        <f>IF((AG30&lt;0),(MAX($R$8:$R29)+1),0)</f>
        <v>0</v>
      </c>
      <c r="S30" s="1086">
        <f>IF((M30=""),0,COUNTIF($M$8:M30,M30))</f>
        <v>1</v>
      </c>
      <c r="T30" s="1086">
        <f>IFERROR(MATCH(M30,M_SYMBOL[SYMBOL],0),"")</f>
        <v>169</v>
      </c>
      <c r="U30" s="1070">
        <f>IFERROR(MATCH(E30,M_TRX_TYPE[TYPE],0),"")</f>
        <v>3</v>
      </c>
      <c r="V30" s="1107">
        <f t="shared" si="17"/>
        <v>0</v>
      </c>
      <c r="W30" s="1095">
        <f t="shared" si="18"/>
        <v>0</v>
      </c>
      <c r="X30" s="1108">
        <f t="shared" si="19"/>
        <v>3541.84</v>
      </c>
      <c r="Y30" s="1109">
        <f>IF(S30=1,0,IF(M30="",0,IF(S30&gt;1,(SUMIF($M$8:Z29,M30,$Z$8:Z29))+(SUMIF($M$8:Z29,M30,$AA$8:AA29)),0)))</f>
        <v>0</v>
      </c>
      <c r="Z30" s="1110">
        <f t="shared" si="20"/>
        <v>16</v>
      </c>
      <c r="AA30" s="1111">
        <f t="shared" si="21"/>
        <v>0</v>
      </c>
      <c r="AB30" s="1112">
        <f>DE_BKCDN[[#This Row],[PREVIOUS
UNITS]]+DE_BKCDN[[#This Row],[SHARES
BOUGHT]]+DE_BKCDN[[#This Row],[SHARES 
SOLD]]</f>
        <v>16</v>
      </c>
      <c r="AC30" s="1113">
        <f>IF(S30=1,0,IF(M30="",0,IF(S30&gt;1,SUMIF($M$8:AE29,M30,$AE$8:AE29)+SUMIF($M$8:AE29,M30,$AD$8:AD29),0)))</f>
        <v>0</v>
      </c>
      <c r="AD30" s="1114">
        <f t="shared" si="22"/>
        <v>3541.84</v>
      </c>
      <c r="AE30" s="1115">
        <f t="shared" si="23"/>
        <v>0</v>
      </c>
      <c r="AF30" s="1116">
        <f t="shared" si="24"/>
        <v>3541.84</v>
      </c>
      <c r="AG30" s="1117">
        <f t="shared" si="25"/>
        <v>0</v>
      </c>
      <c r="AH30" s="1115">
        <f>DE_BKCDN[[#This Row],[PROCEEDS]]-DE_BKCDN[[#This Row],[SOLD]]</f>
        <v>0</v>
      </c>
      <c r="AI30" s="1118">
        <f t="shared" si="29"/>
        <v>45686</v>
      </c>
      <c r="AJ30" s="1119" t="str">
        <f>IF(E30="S", DATEDIF(_xlfn.MAXIFS($F$10:F30, $D$10:D30, D30, $AB$10:AB30, "&gt;0"), F30, "d"), "")</f>
        <v/>
      </c>
      <c r="AK30" s="1118" t="str">
        <f>IF(O30="H",DE_BKCDN[[#This Row],[DATE]],"")</f>
        <v/>
      </c>
      <c r="AL30" s="1120" t="str">
        <f t="shared" si="11"/>
        <v/>
      </c>
      <c r="AM30" s="1121">
        <f t="shared" si="12"/>
        <v>0</v>
      </c>
      <c r="AN30" s="1122">
        <v>0</v>
      </c>
      <c r="AO30" s="1122">
        <f>IFERROR(DE_BKCDN[[#This Row],[MKT]]*DE_BKCDN[[#This Row],[HOLDINGS]],0)</f>
        <v>0</v>
      </c>
      <c r="AP30" s="1123" t="str">
        <f t="shared" si="26"/>
        <v xml:space="preserve"> </v>
      </c>
      <c r="AQ30" s="159" t="s">
        <v>0</v>
      </c>
      <c r="AR30" s="159"/>
      <c r="AT30" s="1086" t="s">
        <v>228</v>
      </c>
      <c r="AU30" s="1070" t="str">
        <f>IFERROR(MATCH(AT30,M_TRX_TYPE[TYPE],0),"")</f>
        <v/>
      </c>
      <c r="AV30" s="1071" t="str" cm="1">
        <f t="array" ref="AV30">IFERROR(INDEX(M_TRX_TYPE[#Data], AU30, MATCH($C$5, M_TRX_TYPE[#Headers], 0)), "")</f>
        <v/>
      </c>
      <c r="AW30" s="1088">
        <f ca="1">AW28+AW11</f>
        <v>-50698.029999999992</v>
      </c>
      <c r="AX30" s="1073"/>
      <c r="AY30" s="1074"/>
      <c r="AZ30" s="1074"/>
      <c r="BA30" s="1081" t="e" vm="12">
        <v>#VALUE!</v>
      </c>
      <c r="BB30" s="1081" cm="1">
        <f t="array" aca="1" ref="BB30" ca="1">_FV(FR_U118[[#This Row],[EXCHNAGE
METHOD]],"Price")</f>
        <v>1.3989</v>
      </c>
      <c r="BC30" s="1073">
        <f ca="1">FR_U118[[#This Row],[EXCHANGE
RATE]]*(FR_U118[[#This Row],[TOTAL
MKT PY/CY]]+FR_U118[[#This Row],[AMOUNT]])</f>
        <v>-70921.474166999993</v>
      </c>
    </row>
    <row r="31" spans="1:57" s="179" customFormat="1" ht="15.75" customHeight="1" thickTop="1" thickBot="1">
      <c r="A31" s="177"/>
      <c r="B31" s="1176">
        <v>124</v>
      </c>
      <c r="C31" s="194" t="str">
        <f t="shared" si="27"/>
        <v>BK-CDN</v>
      </c>
      <c r="D31" s="178" t="s">
        <v>769</v>
      </c>
      <c r="E31" s="179" t="s">
        <v>4</v>
      </c>
      <c r="F31" s="180">
        <v>45686</v>
      </c>
      <c r="G31" s="1096">
        <f t="shared" si="14"/>
        <v>347.49688888888892</v>
      </c>
      <c r="H31" s="182">
        <v>-45</v>
      </c>
      <c r="I31" s="183"/>
      <c r="J31" s="184">
        <v>15637.36</v>
      </c>
      <c r="K31" s="1095">
        <f t="shared" si="28"/>
        <v>-4963.369999999999</v>
      </c>
      <c r="L31" s="1100" t="str" cm="1">
        <f t="array" ref="L31">IFERROR(INDEX(M_TRX_TYPE[#Data], U31, MATCH($C$5,M_TRX_TYPE[#Headers], 0)), "")</f>
        <v xml:space="preserve">4023 Sale of CDN Securities </v>
      </c>
      <c r="M31" s="1102" t="str">
        <f t="shared" si="15"/>
        <v>AMZN</v>
      </c>
      <c r="N31" s="1103">
        <f>IF((O31="H"),(MAX($N$8:N30)+1),0)</f>
        <v>0</v>
      </c>
      <c r="O31" s="1204" t="str">
        <f t="shared" si="16"/>
        <v/>
      </c>
      <c r="P31" s="1105" cm="1">
        <f t="array" ref="P31">MAX(IF($D$10:$D$84=D31, $S$10:$S$84))</f>
        <v>2</v>
      </c>
      <c r="Q31" s="1106">
        <f>IF((E31="B"),(MAX($Q$6:Q30)+1),0)</f>
        <v>0</v>
      </c>
      <c r="R31" s="1106">
        <f>IF((AG31&lt;0),(MAX($R$8:$R30)+1),0)</f>
        <v>4</v>
      </c>
      <c r="S31" s="1086">
        <f>IF((M31=""),0,COUNTIF($M$8:M31,M31))</f>
        <v>2</v>
      </c>
      <c r="T31" s="1086">
        <f>IFERROR(MATCH(M31,M_SYMBOL[SYMBOL],0),"")</f>
        <v>26</v>
      </c>
      <c r="U31" s="1070">
        <f>IFERROR(MATCH(E31,M_TRX_TYPE[TYPE],0),"")</f>
        <v>4</v>
      </c>
      <c r="V31" s="1107">
        <f t="shared" si="17"/>
        <v>0</v>
      </c>
      <c r="W31" s="1095">
        <f t="shared" si="18"/>
        <v>0</v>
      </c>
      <c r="X31" s="1108">
        <f t="shared" si="19"/>
        <v>-15637.36</v>
      </c>
      <c r="Y31" s="1109">
        <f ca="1">IF(S31=1,0,IF(M31="",0,IF(S31&gt;1,(SUMIF($M$8:Z30,M31,$Z$8:Z30))+(SUMIF($M$8:Z30,M31,$AA$8:AA30)),0)))</f>
        <v>45</v>
      </c>
      <c r="Z31" s="1110">
        <f t="shared" si="20"/>
        <v>0</v>
      </c>
      <c r="AA31" s="1111">
        <f t="shared" si="21"/>
        <v>-45</v>
      </c>
      <c r="AB31" s="1112">
        <f ca="1">DE_BKCDN[[#This Row],[PREVIOUS
UNITS]]+DE_BKCDN[[#This Row],[SHARES
BOUGHT]]+DE_BKCDN[[#This Row],[SHARES 
SOLD]]</f>
        <v>0</v>
      </c>
      <c r="AC31" s="1113">
        <f ca="1">IF(S31=1,0,IF(M31="",0,IF(S31&gt;1,SUMIF($M$8:AE30,M31,$AE$8:AE30)+SUMIF($M$8:AE30,M31,$AD$8:AD30),0)))</f>
        <v>15011.33</v>
      </c>
      <c r="AD31" s="1114">
        <f t="shared" si="22"/>
        <v>0</v>
      </c>
      <c r="AE31" s="1115">
        <f t="shared" ca="1" si="23"/>
        <v>-15011.330000000002</v>
      </c>
      <c r="AF31" s="1116">
        <f t="shared" ca="1" si="24"/>
        <v>0</v>
      </c>
      <c r="AG31" s="1117">
        <f t="shared" si="25"/>
        <v>-15637.36</v>
      </c>
      <c r="AH31" s="1115">
        <f ca="1">DE_BKCDN[[#This Row],[PROCEEDS]]-DE_BKCDN[[#This Row],[SOLD]]</f>
        <v>-626.02999999999884</v>
      </c>
      <c r="AI31" s="1118" t="str">
        <f t="shared" ca="1" si="29"/>
        <v/>
      </c>
      <c r="AJ31" s="1119">
        <f ca="1">IF(E31="S", DATEDIF(_xlfn.MAXIFS($F$10:F31, $D$10:D31, D31, $AB$10:AB31, "&gt;0"), F31, "d"), "")</f>
        <v>7</v>
      </c>
      <c r="AK31" s="1118" t="str">
        <f>IF(O31="H",DE_BKCDN[[#This Row],[DATE]],"")</f>
        <v/>
      </c>
      <c r="AL31" s="1120" t="str">
        <f t="shared" si="11"/>
        <v/>
      </c>
      <c r="AM31" s="1121">
        <f t="shared" si="12"/>
        <v>0</v>
      </c>
      <c r="AN31" s="1122">
        <v>0</v>
      </c>
      <c r="AO31" s="1122">
        <f>IFERROR(DE_BKCDN[[#This Row],[MKT]]*DE_BKCDN[[#This Row],[HOLDINGS]],0)</f>
        <v>0</v>
      </c>
      <c r="AP31" s="1123" t="str">
        <f t="shared" si="26"/>
        <v xml:space="preserve"> </v>
      </c>
      <c r="AQ31" s="159" t="s">
        <v>0</v>
      </c>
      <c r="AR31" s="159"/>
      <c r="AT31" s="1086">
        <v>999</v>
      </c>
      <c r="AU31" s="1086"/>
      <c r="AV31" s="1071" t="e" cm="1" vm="13">
        <f t="array" aca="1" ref="AV31" ca="1">IFERROR(INDEX(M_TRX_TYPE[#Data], AU31, MATCH($C$5, M_TRX_TYPE[#Headers], 0)), "")</f>
        <v>#VALUE!</v>
      </c>
      <c r="AW31" s="1089"/>
      <c r="AX31" s="1088">
        <f ca="1">AX28+AX11</f>
        <v>3664.7900000000373</v>
      </c>
      <c r="AY31" s="1074">
        <f ca="1">SUMIF($E$10:$AM$98,AT31,$AO$10:$AO$98)</f>
        <v>0</v>
      </c>
      <c r="AZ31" s="1090">
        <f ca="1">FR_U118[[#This Row],[TOTAL
MKT PY/CY]]-FR_U118[[#This Row],[SECURITIES]]</f>
        <v>-3664.7900000000373</v>
      </c>
      <c r="BA31" s="1081" t="e" vm="12">
        <v>#VALUE!</v>
      </c>
      <c r="BB31" s="1081" cm="1">
        <f t="array" aca="1" ref="BB31" ca="1">_FV(FR_U118[[#This Row],[EXCHNAGE
METHOD]],"Price")</f>
        <v>1.3989</v>
      </c>
      <c r="BC31" s="1073">
        <f ca="1">FR_U118[[#This Row],[EXCHANGE
RATE]]*(FR_U118[[#This Row],[TOTAL
MKT PY/CY]]+FR_U118[[#This Row],[AMOUNT]])</f>
        <v>0</v>
      </c>
    </row>
    <row r="32" spans="1:57" s="179" customFormat="1" ht="15.75" customHeight="1" thickTop="1">
      <c r="A32" s="177"/>
      <c r="B32" s="1176">
        <v>125</v>
      </c>
      <c r="C32" s="194" t="str">
        <f t="shared" si="27"/>
        <v>BK-CDN</v>
      </c>
      <c r="D32" s="178" t="s">
        <v>803</v>
      </c>
      <c r="E32" s="179" t="s">
        <v>4</v>
      </c>
      <c r="F32" s="180">
        <v>45687</v>
      </c>
      <c r="G32" s="1096">
        <f t="shared" si="14"/>
        <v>270.15590909090912</v>
      </c>
      <c r="H32" s="182">
        <v>-44</v>
      </c>
      <c r="I32" s="183"/>
      <c r="J32" s="184">
        <v>11886.86</v>
      </c>
      <c r="K32" s="1095">
        <f t="shared" si="28"/>
        <v>6923.4900000000016</v>
      </c>
      <c r="L32" s="1100" t="str" cm="1">
        <f t="array" ref="L32">IFERROR(INDEX(M_TRX_TYPE[#Data], U32, MATCH($C$5,M_TRX_TYPE[#Headers], 0)), "")</f>
        <v xml:space="preserve">4023 Sale of CDN Securities </v>
      </c>
      <c r="M32" s="1102" t="str">
        <f t="shared" si="15"/>
        <v>AMT</v>
      </c>
      <c r="N32" s="1103">
        <f>IF((O32="H"),(MAX($N$8:N31)+1),0)</f>
        <v>0</v>
      </c>
      <c r="O32" s="1204" t="str">
        <f t="shared" si="16"/>
        <v/>
      </c>
      <c r="P32" s="1105" cm="1">
        <f t="array" ref="P32">MAX(IF($D$10:$D$84=D32, $S$10:$S$84))</f>
        <v>2</v>
      </c>
      <c r="Q32" s="1106">
        <f>IF((E32="B"),(MAX($Q$6:Q31)+1),0)</f>
        <v>0</v>
      </c>
      <c r="R32" s="1106">
        <f>IF((AG32&lt;0),(MAX($R$8:$R31)+1),0)</f>
        <v>5</v>
      </c>
      <c r="S32" s="1086">
        <f>IF((M32=""),0,COUNTIF($M$8:M32,M32))</f>
        <v>2</v>
      </c>
      <c r="T32" s="1086">
        <f>IFERROR(MATCH(M32,M_SYMBOL[SYMBOL],0),"")</f>
        <v>30</v>
      </c>
      <c r="U32" s="1070">
        <f>IFERROR(MATCH(E32,M_TRX_TYPE[TYPE],0),"")</f>
        <v>4</v>
      </c>
      <c r="V32" s="1107">
        <f t="shared" si="17"/>
        <v>0</v>
      </c>
      <c r="W32" s="1095">
        <f t="shared" si="18"/>
        <v>0</v>
      </c>
      <c r="X32" s="1108">
        <f t="shared" si="19"/>
        <v>-11886.86</v>
      </c>
      <c r="Y32" s="1109">
        <f ca="1">IF(S32=1,0,IF(M32="",0,IF(S32&gt;1,(SUMIF($M$8:Z31,M32,$Z$8:Z31))+(SUMIF($M$8:Z31,M32,$AA$8:AA31)),0)))</f>
        <v>44</v>
      </c>
      <c r="Z32" s="1110">
        <f t="shared" si="20"/>
        <v>0</v>
      </c>
      <c r="AA32" s="1111">
        <f t="shared" si="21"/>
        <v>-44</v>
      </c>
      <c r="AB32" s="1112">
        <f ca="1">DE_BKCDN[[#This Row],[PREVIOUS
UNITS]]+DE_BKCDN[[#This Row],[SHARES
BOUGHT]]+DE_BKCDN[[#This Row],[SHARES 
SOLD]]</f>
        <v>0</v>
      </c>
      <c r="AC32" s="1113">
        <f ca="1">IF(S32=1,0,IF(M32="",0,IF(S32&gt;1,SUMIF($M$8:AE31,M32,$AE$8:AE31)+SUMIF($M$8:AE31,M32,$AD$8:AD31),0)))</f>
        <v>12079.18</v>
      </c>
      <c r="AD32" s="1114">
        <f t="shared" si="22"/>
        <v>0</v>
      </c>
      <c r="AE32" s="1115">
        <f t="shared" ca="1" si="23"/>
        <v>-12079.180000000002</v>
      </c>
      <c r="AF32" s="1116">
        <f t="shared" ca="1" si="24"/>
        <v>0</v>
      </c>
      <c r="AG32" s="1117">
        <f t="shared" si="25"/>
        <v>-11886.86</v>
      </c>
      <c r="AH32" s="1115">
        <f ca="1">DE_BKCDN[[#This Row],[PROCEEDS]]-DE_BKCDN[[#This Row],[SOLD]]</f>
        <v>192.32000000000153</v>
      </c>
      <c r="AI32" s="1118" t="str">
        <f t="shared" ca="1" si="29"/>
        <v/>
      </c>
      <c r="AJ32" s="1119">
        <f ca="1">IF(E32="S", DATEDIF(_xlfn.MAXIFS($F$10:F32, $D$10:D32, D32, $AB$10:AB32, "&gt;0"), F32, "d"), "")</f>
        <v>1</v>
      </c>
      <c r="AK32" s="1118" t="str">
        <f>IF(O32="H",DE_BKCDN[[#This Row],[DATE]],"")</f>
        <v/>
      </c>
      <c r="AL32" s="1120" t="str">
        <f t="shared" si="11"/>
        <v/>
      </c>
      <c r="AM32" s="1121">
        <f t="shared" si="12"/>
        <v>0</v>
      </c>
      <c r="AN32" s="1122">
        <v>0</v>
      </c>
      <c r="AO32" s="1122">
        <f>IFERROR(DE_BKCDN[[#This Row],[MKT]]*DE_BKCDN[[#This Row],[HOLDINGS]],0)</f>
        <v>0</v>
      </c>
      <c r="AP32" s="1123" t="str">
        <f t="shared" si="26"/>
        <v xml:space="preserve"> </v>
      </c>
      <c r="AQ32" s="159" t="s">
        <v>0</v>
      </c>
      <c r="AR32" s="159"/>
      <c r="AT32" s="1086"/>
      <c r="AU32" s="1082" t="s">
        <v>28</v>
      </c>
      <c r="AV32" s="1082" t="s">
        <v>0</v>
      </c>
      <c r="AW32" s="1087"/>
      <c r="AX32" s="1073"/>
      <c r="AY32" s="1074"/>
      <c r="AZ32" s="1074"/>
      <c r="BA32" s="1081"/>
      <c r="BB32" s="1081">
        <f ca="1">BC31+BC30-AX31-AW30</f>
        <v>-23888.234167000039</v>
      </c>
      <c r="BC32" s="1073"/>
    </row>
    <row r="33" spans="1:57" s="179" customFormat="1" ht="15.75" customHeight="1">
      <c r="A33" s="177"/>
      <c r="B33" s="1176">
        <v>126</v>
      </c>
      <c r="C33" s="194" t="str">
        <f t="shared" si="27"/>
        <v>BK-CDN</v>
      </c>
      <c r="D33" s="178" t="s">
        <v>773</v>
      </c>
      <c r="E33" s="179" t="s">
        <v>3</v>
      </c>
      <c r="F33" s="180">
        <v>45687</v>
      </c>
      <c r="G33" s="1096">
        <f t="shared" si="14"/>
        <v>153.78424999999999</v>
      </c>
      <c r="H33" s="182">
        <v>40</v>
      </c>
      <c r="I33" s="183"/>
      <c r="J33" s="184">
        <v>-6151.37</v>
      </c>
      <c r="K33" s="1095">
        <f t="shared" si="28"/>
        <v>772.12000000000171</v>
      </c>
      <c r="L33" s="1100" t="str" cm="1">
        <f t="array" ref="L33">IFERROR(INDEX(M_TRX_TYPE[#Data], U33, MATCH($C$5,M_TRX_TYPE[#Headers], 0)), "")</f>
        <v>1131 Broker CDN Securities</v>
      </c>
      <c r="M33" s="1102" t="str">
        <f t="shared" si="15"/>
        <v>CROX</v>
      </c>
      <c r="N33" s="1103">
        <f>IF((O33="H"),(MAX($N$8:N32)+1),0)</f>
        <v>0</v>
      </c>
      <c r="O33" s="1204" t="str">
        <f t="shared" si="16"/>
        <v/>
      </c>
      <c r="P33" s="1105" cm="1">
        <f t="array" ref="P33">MAX(IF($D$10:$D$84=D33, $S$10:$S$84))</f>
        <v>2</v>
      </c>
      <c r="Q33" s="1106">
        <f>IF((E33="B"),(MAX($Q$6:Q32)+1),0)</f>
        <v>6</v>
      </c>
      <c r="R33" s="1106">
        <f>IF((AG33&lt;0),(MAX($R$8:$R32)+1),0)</f>
        <v>0</v>
      </c>
      <c r="S33" s="1086">
        <f>IF((M33=""),0,COUNTIF($M$8:M33,M33))</f>
        <v>1</v>
      </c>
      <c r="T33" s="1086">
        <f>IFERROR(MATCH(M33,M_SYMBOL[SYMBOL],0),"")</f>
        <v>76</v>
      </c>
      <c r="U33" s="1070">
        <f>IFERROR(MATCH(E33,M_TRX_TYPE[TYPE],0),"")</f>
        <v>3</v>
      </c>
      <c r="V33" s="1107">
        <f t="shared" si="17"/>
        <v>0</v>
      </c>
      <c r="W33" s="1095">
        <f t="shared" si="18"/>
        <v>0</v>
      </c>
      <c r="X33" s="1108">
        <f t="shared" si="19"/>
        <v>6151.37</v>
      </c>
      <c r="Y33" s="1109">
        <f>IF(S33=1,0,IF(M33="",0,IF(S33&gt;1,(SUMIF($M$8:Z32,M33,$Z$8:Z32))+(SUMIF($M$8:Z32,M33,$AA$8:AA32)),0)))</f>
        <v>0</v>
      </c>
      <c r="Z33" s="1110">
        <f t="shared" si="20"/>
        <v>40</v>
      </c>
      <c r="AA33" s="1111">
        <f t="shared" si="21"/>
        <v>0</v>
      </c>
      <c r="AB33" s="1112">
        <f>DE_BKCDN[[#This Row],[PREVIOUS
UNITS]]+DE_BKCDN[[#This Row],[SHARES
BOUGHT]]+DE_BKCDN[[#This Row],[SHARES 
SOLD]]</f>
        <v>40</v>
      </c>
      <c r="AC33" s="1113">
        <f>IF(S33=1,0,IF(M33="",0,IF(S33&gt;1,SUMIF($M$8:AE32,M33,$AE$8:AE32)+SUMIF($M$8:AE32,M33,$AD$8:AD32),0)))</f>
        <v>0</v>
      </c>
      <c r="AD33" s="1114">
        <f t="shared" si="22"/>
        <v>6151.37</v>
      </c>
      <c r="AE33" s="1115">
        <f t="shared" si="23"/>
        <v>0</v>
      </c>
      <c r="AF33" s="1116">
        <f t="shared" si="24"/>
        <v>6151.37</v>
      </c>
      <c r="AG33" s="1117">
        <f t="shared" si="25"/>
        <v>0</v>
      </c>
      <c r="AH33" s="1115">
        <f>DE_BKCDN[[#This Row],[PROCEEDS]]-DE_BKCDN[[#This Row],[SOLD]]</f>
        <v>0</v>
      </c>
      <c r="AI33" s="1118">
        <f t="shared" si="29"/>
        <v>45687</v>
      </c>
      <c r="AJ33" s="1119" t="str">
        <f>IF(E33="S", DATEDIF(_xlfn.MAXIFS($F$10:F33, $D$10:D33, D33, $AB$10:AB33, "&gt;0"), F33, "d"), "")</f>
        <v/>
      </c>
      <c r="AK33" s="1118" t="str">
        <f>IF(O33="H",DE_BKCDN[[#This Row],[DATE]],"")</f>
        <v/>
      </c>
      <c r="AL33" s="1120" t="str">
        <f t="shared" si="11"/>
        <v/>
      </c>
      <c r="AM33" s="1121">
        <f t="shared" si="12"/>
        <v>0</v>
      </c>
      <c r="AN33" s="1122">
        <v>0</v>
      </c>
      <c r="AO33" s="1122">
        <f>IFERROR(DE_BKCDN[[#This Row],[MKT]]*DE_BKCDN[[#This Row],[HOLDINGS]],0)</f>
        <v>0</v>
      </c>
      <c r="AP33" s="1123" t="str">
        <f t="shared" si="26"/>
        <v xml:space="preserve"> </v>
      </c>
      <c r="AQ33" s="159" t="s">
        <v>0</v>
      </c>
      <c r="AR33" s="159"/>
      <c r="AT33" s="1082" t="s">
        <v>0</v>
      </c>
      <c r="AU33" s="1082"/>
      <c r="AV33" s="1082"/>
      <c r="AW33" s="1087"/>
      <c r="AX33" s="1073"/>
      <c r="AY33" s="1074"/>
      <c r="AZ33" s="1074"/>
      <c r="BA33" s="1081"/>
      <c r="BB33" s="1081" t="s">
        <v>0</v>
      </c>
      <c r="BC33" s="1073" t="s">
        <v>0</v>
      </c>
      <c r="BE33" s="628"/>
    </row>
    <row r="34" spans="1:57" s="179" customFormat="1" ht="15.75" customHeight="1" thickBot="1">
      <c r="A34" s="177"/>
      <c r="B34" s="1176">
        <v>127</v>
      </c>
      <c r="C34" s="194" t="str">
        <f t="shared" si="27"/>
        <v>BK-CDN</v>
      </c>
      <c r="D34" s="178" t="s">
        <v>806</v>
      </c>
      <c r="E34" s="179" t="s">
        <v>3</v>
      </c>
      <c r="F34" s="180">
        <v>45687</v>
      </c>
      <c r="G34" s="1096">
        <f t="shared" si="14"/>
        <v>72.782784810126586</v>
      </c>
      <c r="H34" s="182">
        <v>79</v>
      </c>
      <c r="I34" s="183"/>
      <c r="J34" s="184">
        <v>-5749.84</v>
      </c>
      <c r="K34" s="1095">
        <f t="shared" si="28"/>
        <v>-4977.7199999999984</v>
      </c>
      <c r="L34" s="1100" t="str" cm="1">
        <f t="array" ref="L34">IFERROR(INDEX(M_TRX_TYPE[#Data], U34, MATCH($C$5,M_TRX_TYPE[#Headers], 0)), "")</f>
        <v>1131 Broker CDN Securities</v>
      </c>
      <c r="M34" s="1102" t="str">
        <f t="shared" si="15"/>
        <v>GLW</v>
      </c>
      <c r="N34" s="1103">
        <f>IF((O34="H"),(MAX($N$8:N33)+1),0)</f>
        <v>0</v>
      </c>
      <c r="O34" s="1204" t="str">
        <f t="shared" si="16"/>
        <v/>
      </c>
      <c r="P34" s="1105" cm="1">
        <f t="array" ref="P34">MAX(IF($D$10:$D$84=D34, $S$10:$S$84))</f>
        <v>2</v>
      </c>
      <c r="Q34" s="1106">
        <f>IF((E34="B"),(MAX($Q$6:Q33)+1),0)</f>
        <v>7</v>
      </c>
      <c r="R34" s="1106">
        <f>IF((AG34&lt;0),(MAX($R$8:$R33)+1),0)</f>
        <v>0</v>
      </c>
      <c r="S34" s="1086">
        <f>IF((M34=""),0,COUNTIF($M$8:M34,M34))</f>
        <v>1</v>
      </c>
      <c r="T34" s="1086">
        <f>IFERROR(MATCH(M34,M_SYMBOL[SYMBOL],0),"")</f>
        <v>72</v>
      </c>
      <c r="U34" s="1070">
        <f>IFERROR(MATCH(E34,M_TRX_TYPE[TYPE],0),"")</f>
        <v>3</v>
      </c>
      <c r="V34" s="1107">
        <f t="shared" si="17"/>
        <v>0</v>
      </c>
      <c r="W34" s="1095">
        <f t="shared" si="18"/>
        <v>0</v>
      </c>
      <c r="X34" s="1108">
        <f t="shared" si="19"/>
        <v>5749.84</v>
      </c>
      <c r="Y34" s="1109">
        <f>IF(S34=1,0,IF(M34="",0,IF(S34&gt;1,(SUMIF($M$8:Z33,M34,$Z$8:Z33))+(SUMIF($M$8:Z33,M34,$AA$8:AA33)),0)))</f>
        <v>0</v>
      </c>
      <c r="Z34" s="1110">
        <f t="shared" si="20"/>
        <v>79</v>
      </c>
      <c r="AA34" s="1111">
        <f t="shared" si="21"/>
        <v>0</v>
      </c>
      <c r="AB34" s="1112">
        <f>DE_BKCDN[[#This Row],[PREVIOUS
UNITS]]+DE_BKCDN[[#This Row],[SHARES
BOUGHT]]+DE_BKCDN[[#This Row],[SHARES 
SOLD]]</f>
        <v>79</v>
      </c>
      <c r="AC34" s="1113">
        <f>IF(S34=1,0,IF(M34="",0,IF(S34&gt;1,SUMIF($M$8:AE33,M34,$AE$8:AE33)+SUMIF($M$8:AE33,M34,$AD$8:AD33),0)))</f>
        <v>0</v>
      </c>
      <c r="AD34" s="1114">
        <f t="shared" si="22"/>
        <v>5749.84</v>
      </c>
      <c r="AE34" s="1115">
        <f t="shared" si="23"/>
        <v>0</v>
      </c>
      <c r="AF34" s="1116">
        <f t="shared" si="24"/>
        <v>5749.84</v>
      </c>
      <c r="AG34" s="1117">
        <f t="shared" si="25"/>
        <v>0</v>
      </c>
      <c r="AH34" s="1115">
        <f>DE_BKCDN[[#This Row],[PROCEEDS]]-DE_BKCDN[[#This Row],[SOLD]]</f>
        <v>0</v>
      </c>
      <c r="AI34" s="1118">
        <f t="shared" si="29"/>
        <v>45687</v>
      </c>
      <c r="AJ34" s="1119" t="str">
        <f>IF(E34="S", DATEDIF(_xlfn.MAXIFS($F$10:F34, $D$10:D34, D34, $AB$10:AB34, "&gt;0"), F34, "d"), "")</f>
        <v/>
      </c>
      <c r="AK34" s="1118" t="str">
        <f>IF(O34="H",DE_BKCDN[[#This Row],[DATE]],"")</f>
        <v/>
      </c>
      <c r="AL34" s="1120" t="str">
        <f t="shared" si="11"/>
        <v/>
      </c>
      <c r="AM34" s="1121">
        <f t="shared" si="12"/>
        <v>0</v>
      </c>
      <c r="AN34" s="1122">
        <v>0</v>
      </c>
      <c r="AO34" s="1122">
        <f>IFERROR(DE_BKCDN[[#This Row],[MKT]]*DE_BKCDN[[#This Row],[HOLDINGS]],0)</f>
        <v>0</v>
      </c>
      <c r="AP34" s="1123" t="str">
        <f t="shared" si="26"/>
        <v xml:space="preserve"> </v>
      </c>
      <c r="AQ34" s="159" t="s">
        <v>0</v>
      </c>
      <c r="AR34" s="159"/>
      <c r="AT34" s="1082" t="s">
        <v>786</v>
      </c>
      <c r="AU34" s="1086"/>
      <c r="AV34" s="1082"/>
      <c r="AW34" s="1078"/>
      <c r="AX34" s="1073"/>
      <c r="AY34" s="1074"/>
      <c r="AZ34" s="1091">
        <f ca="1">-AZ10+AZ31</f>
        <v>-74832.410000000033</v>
      </c>
      <c r="BA34" s="1081"/>
      <c r="BB34" s="1092">
        <f ca="1">BB32-BB11</f>
        <v>-136246.63590700005</v>
      </c>
      <c r="BC34" s="1073"/>
    </row>
    <row r="35" spans="1:57" s="179" customFormat="1" ht="15.75" customHeight="1" thickTop="1">
      <c r="A35" s="177"/>
      <c r="B35" s="1176">
        <v>128</v>
      </c>
      <c r="C35" s="194" t="str">
        <f t="shared" si="27"/>
        <v>BK-CDN</v>
      </c>
      <c r="D35" s="178" t="s">
        <v>1426</v>
      </c>
      <c r="E35" s="179" t="s">
        <v>35</v>
      </c>
      <c r="F35" s="180">
        <v>45688</v>
      </c>
      <c r="G35" s="1096" t="str">
        <f t="shared" si="14"/>
        <v xml:space="preserve"> </v>
      </c>
      <c r="H35" s="182"/>
      <c r="I35" s="183"/>
      <c r="J35" s="184">
        <v>200</v>
      </c>
      <c r="K35" s="1095">
        <f t="shared" si="28"/>
        <v>-4777.7199999999984</v>
      </c>
      <c r="L35" s="1100" t="str" cm="1">
        <f t="array" ref="L35">IFERROR(INDEX(M_TRX_TYPE[#Data], U35, MATCH($C$5,M_TRX_TYPE[#Headers], 0)), "")</f>
        <v>1139 Exchange/mark to market</v>
      </c>
      <c r="M35" s="1102" t="str">
        <f t="shared" si="15"/>
        <v/>
      </c>
      <c r="N35" s="1103">
        <f>IF((O35="H"),(MAX($N$8:N34)+1),0)</f>
        <v>0</v>
      </c>
      <c r="O35" s="1204" t="str">
        <f t="shared" si="16"/>
        <v/>
      </c>
      <c r="P35" s="1105" cm="1">
        <f t="array" ref="P35">MAX(IF($D$10:$D$84=D35, $S$10:$S$84))</f>
        <v>0</v>
      </c>
      <c r="Q35" s="1106">
        <f>IF((E35="B"),(MAX($Q$6:Q34)+1),0)</f>
        <v>0</v>
      </c>
      <c r="R35" s="1106">
        <f>IF((AG35&lt;0),(MAX($R$8:$R34)+1),0)</f>
        <v>0</v>
      </c>
      <c r="S35" s="1086">
        <f>IF((M35=""),0,COUNTIF($M$8:M35,M35))</f>
        <v>0</v>
      </c>
      <c r="T35" s="1086" t="str">
        <f>IFERROR(MATCH(M35,M_SYMBOL[SYMBOL],0),"")</f>
        <v/>
      </c>
      <c r="U35" s="1070">
        <f>IFERROR(MATCH(E35,M_TRX_TYPE[TYPE],0),"")</f>
        <v>8</v>
      </c>
      <c r="V35" s="1107">
        <f t="shared" si="17"/>
        <v>0</v>
      </c>
      <c r="W35" s="1095">
        <f t="shared" si="18"/>
        <v>0</v>
      </c>
      <c r="X35" s="1108">
        <f t="shared" si="19"/>
        <v>-200</v>
      </c>
      <c r="Y35" s="1109">
        <f>IF(S35=1,0,IF(M35="",0,IF(S35&gt;1,(SUMIF($M$8:Z34,M35,$Z$8:Z34))+(SUMIF($M$8:Z34,M35,$AA$8:AA34)),0)))</f>
        <v>0</v>
      </c>
      <c r="Z35" s="1110">
        <f t="shared" si="20"/>
        <v>0</v>
      </c>
      <c r="AA35" s="1111">
        <f t="shared" si="21"/>
        <v>0</v>
      </c>
      <c r="AB35" s="1112">
        <f>DE_BKCDN[[#This Row],[PREVIOUS
UNITS]]+DE_BKCDN[[#This Row],[SHARES
BOUGHT]]+DE_BKCDN[[#This Row],[SHARES 
SOLD]]</f>
        <v>0</v>
      </c>
      <c r="AC35" s="1113">
        <f>IF(S35=1,0,IF(M35="",0,IF(S35&gt;1,SUMIF($M$8:AE34,M35,$AE$8:AE34)+SUMIF($M$8:AE34,M35,$AD$8:AD34),0)))</f>
        <v>0</v>
      </c>
      <c r="AD35" s="1114">
        <f t="shared" si="22"/>
        <v>0</v>
      </c>
      <c r="AE35" s="1115">
        <f t="shared" si="23"/>
        <v>0</v>
      </c>
      <c r="AF35" s="1116">
        <f t="shared" si="24"/>
        <v>0</v>
      </c>
      <c r="AG35" s="1117">
        <f t="shared" si="25"/>
        <v>0</v>
      </c>
      <c r="AH35" s="1115">
        <f>DE_BKCDN[[#This Row],[PROCEEDS]]-DE_BKCDN[[#This Row],[SOLD]]</f>
        <v>0</v>
      </c>
      <c r="AI35" s="1118" t="str">
        <f t="shared" si="29"/>
        <v/>
      </c>
      <c r="AJ35" s="1119" t="str">
        <f>IF(E35="S", DATEDIF(_xlfn.MAXIFS($F$10:F35, $D$10:D35, D35, $AB$10:AB35, "&gt;0"), F35, "d"), "")</f>
        <v/>
      </c>
      <c r="AK35" s="1118" t="str">
        <f>IF(O35="H",DE_BKCDN[[#This Row],[DATE]],"")</f>
        <v/>
      </c>
      <c r="AL35" s="1120" t="str">
        <f t="shared" si="11"/>
        <v/>
      </c>
      <c r="AM35" s="1121">
        <f t="shared" si="12"/>
        <v>0</v>
      </c>
      <c r="AN35" s="1122">
        <v>0</v>
      </c>
      <c r="AO35" s="1122">
        <f>IFERROR(DE_BKCDN[[#This Row],[MKT]]*DE_BKCDN[[#This Row],[HOLDINGS]],0)</f>
        <v>0</v>
      </c>
      <c r="AP35" s="1123" t="str">
        <f t="shared" si="26"/>
        <v xml:space="preserve"> </v>
      </c>
      <c r="AQ35" s="159" t="s">
        <v>0</v>
      </c>
      <c r="AR35" s="159"/>
      <c r="AT35" s="1086"/>
      <c r="AU35" s="1093"/>
      <c r="AV35" s="1071"/>
      <c r="AW35" s="1094"/>
      <c r="AX35" s="1073"/>
      <c r="AY35" s="1074"/>
      <c r="AZ35" s="1094"/>
      <c r="BA35" s="1081"/>
      <c r="BB35" s="1081"/>
      <c r="BC35" s="1073"/>
    </row>
    <row r="36" spans="1:57" s="179" customFormat="1" ht="15.75" customHeight="1">
      <c r="A36" s="177"/>
      <c r="B36" s="1176">
        <v>129</v>
      </c>
      <c r="C36" s="194" t="str">
        <f t="shared" si="27"/>
        <v>BK-CDN</v>
      </c>
      <c r="D36" s="178" t="s">
        <v>939</v>
      </c>
      <c r="E36" s="179" t="s">
        <v>3</v>
      </c>
      <c r="F36" s="180">
        <v>45693</v>
      </c>
      <c r="G36" s="1096">
        <f t="shared" si="14"/>
        <v>75.343559322033911</v>
      </c>
      <c r="H36" s="182">
        <v>118</v>
      </c>
      <c r="I36" s="183"/>
      <c r="J36" s="184">
        <v>-8890.5400000000009</v>
      </c>
      <c r="K36" s="1095">
        <f t="shared" si="28"/>
        <v>-13668.259999999998</v>
      </c>
      <c r="L36" s="1100" t="str" cm="1">
        <f t="array" ref="L36">IFERROR(INDEX(M_TRX_TYPE[#Data], U36, MATCH($C$5,M_TRX_TYPE[#Headers], 0)), "")</f>
        <v>1131 Broker CDN Securities</v>
      </c>
      <c r="M36" s="1102" t="str">
        <f t="shared" si="15"/>
        <v>GIL</v>
      </c>
      <c r="N36" s="1103">
        <f>IF((O36="H"),(MAX($N$8:N35)+1),0)</f>
        <v>0</v>
      </c>
      <c r="O36" s="1204" t="str">
        <f t="shared" si="16"/>
        <v/>
      </c>
      <c r="P36" s="1105" cm="1">
        <f t="array" ref="P36">MAX(IF($D$10:$D$84=D36, $S$10:$S$84))</f>
        <v>2</v>
      </c>
      <c r="Q36" s="1106">
        <f>IF((E36="B"),(MAX($Q$6:Q35)+1),0)</f>
        <v>8</v>
      </c>
      <c r="R36" s="1106">
        <f>IF((AG36&lt;0),(MAX($R$8:$R35)+1),0)</f>
        <v>0</v>
      </c>
      <c r="S36" s="1086">
        <f>IF((M36=""),0,COUNTIF($M$8:M36,M36))</f>
        <v>1</v>
      </c>
      <c r="T36" s="1086">
        <f>IFERROR(MATCH(M36,M_SYMBOL[SYMBOL],0),"")</f>
        <v>106</v>
      </c>
      <c r="U36" s="1070">
        <f>IFERROR(MATCH(E36,M_TRX_TYPE[TYPE],0),"")</f>
        <v>3</v>
      </c>
      <c r="V36" s="1107">
        <f t="shared" si="17"/>
        <v>0</v>
      </c>
      <c r="W36" s="1095">
        <f t="shared" si="18"/>
        <v>0</v>
      </c>
      <c r="X36" s="1108">
        <f t="shared" si="19"/>
        <v>8890.5400000000009</v>
      </c>
      <c r="Y36" s="1109">
        <f>IF(S36=1,0,IF(M36="",0,IF(S36&gt;1,(SUMIF($M$8:Z35,M36,$Z$8:Z35))+(SUMIF($M$8:Z35,M36,$AA$8:AA35)),0)))</f>
        <v>0</v>
      </c>
      <c r="Z36" s="1110">
        <f t="shared" si="20"/>
        <v>118</v>
      </c>
      <c r="AA36" s="1111">
        <f t="shared" si="21"/>
        <v>0</v>
      </c>
      <c r="AB36" s="1112">
        <f>DE_BKCDN[[#This Row],[PREVIOUS
UNITS]]+DE_BKCDN[[#This Row],[SHARES
BOUGHT]]+DE_BKCDN[[#This Row],[SHARES 
SOLD]]</f>
        <v>118</v>
      </c>
      <c r="AC36" s="1113">
        <f>IF(S36=1,0,IF(M36="",0,IF(S36&gt;1,SUMIF($M$8:AE35,M36,$AE$8:AE35)+SUMIF($M$8:AE35,M36,$AD$8:AD35),0)))</f>
        <v>0</v>
      </c>
      <c r="AD36" s="1114">
        <f t="shared" si="22"/>
        <v>8890.5400000000009</v>
      </c>
      <c r="AE36" s="1115">
        <f t="shared" si="23"/>
        <v>0</v>
      </c>
      <c r="AF36" s="1116">
        <f t="shared" si="24"/>
        <v>8890.5400000000009</v>
      </c>
      <c r="AG36" s="1117">
        <f t="shared" si="25"/>
        <v>0</v>
      </c>
      <c r="AH36" s="1115">
        <f>DE_BKCDN[[#This Row],[PROCEEDS]]-DE_BKCDN[[#This Row],[SOLD]]</f>
        <v>0</v>
      </c>
      <c r="AI36" s="1118">
        <f t="shared" si="29"/>
        <v>45693</v>
      </c>
      <c r="AJ36" s="1119" t="str">
        <f>IF(E36="S", DATEDIF(_xlfn.MAXIFS($F$10:F36, $D$10:D36, D36, $AB$10:AB36, "&gt;0"), F36, "d"), "")</f>
        <v/>
      </c>
      <c r="AK36" s="1118" t="str">
        <f>IF(O36="H",DE_BKCDN[[#This Row],[DATE]],"")</f>
        <v/>
      </c>
      <c r="AL36" s="1120" t="str">
        <f t="shared" si="11"/>
        <v/>
      </c>
      <c r="AM36" s="1121">
        <f t="shared" si="12"/>
        <v>0</v>
      </c>
      <c r="AN36" s="1122">
        <v>0</v>
      </c>
      <c r="AO36" s="1122">
        <f>IFERROR(DE_BKCDN[[#This Row],[MKT]]*DE_BKCDN[[#This Row],[HOLDINGS]],0)</f>
        <v>0</v>
      </c>
      <c r="AP36" s="1123" t="str">
        <f t="shared" si="26"/>
        <v xml:space="preserve"> </v>
      </c>
      <c r="AQ36" s="159" t="s">
        <v>0</v>
      </c>
      <c r="AR36" s="159"/>
      <c r="AU36" s="410"/>
      <c r="AV36" s="620"/>
      <c r="AW36" s="595"/>
      <c r="AX36" s="185"/>
      <c r="AY36" s="621"/>
      <c r="AZ36" s="595"/>
      <c r="BA36" s="623"/>
      <c r="BB36" s="623"/>
      <c r="BC36" s="185"/>
    </row>
    <row r="37" spans="1:57" s="179" customFormat="1" ht="15.75" customHeight="1">
      <c r="A37" s="177"/>
      <c r="B37" s="1176">
        <v>130</v>
      </c>
      <c r="C37" s="194" t="str">
        <f t="shared" si="27"/>
        <v>BK-CDN</v>
      </c>
      <c r="D37" s="178" t="s">
        <v>804</v>
      </c>
      <c r="E37" s="179" t="s">
        <v>4</v>
      </c>
      <c r="F37" s="180">
        <v>45693</v>
      </c>
      <c r="G37" s="1096">
        <f t="shared" si="14"/>
        <v>206.455625</v>
      </c>
      <c r="H37" s="182">
        <v>-16</v>
      </c>
      <c r="I37" s="183"/>
      <c r="J37" s="184">
        <v>3303.29</v>
      </c>
      <c r="K37" s="1095">
        <f t="shared" si="28"/>
        <v>-10364.969999999998</v>
      </c>
      <c r="L37" s="1100" t="str" cm="1">
        <f t="array" ref="L37">IFERROR(INDEX(M_TRX_TYPE[#Data], U37, MATCH($C$5,M_TRX_TYPE[#Headers], 0)), "")</f>
        <v xml:space="preserve">4023 Sale of CDN Securities </v>
      </c>
      <c r="M37" s="1102" t="str">
        <f t="shared" si="15"/>
        <v>PEP</v>
      </c>
      <c r="N37" s="1103">
        <f>IF((O37="H"),(MAX($N$8:N36)+1),0)</f>
        <v>0</v>
      </c>
      <c r="O37" s="1204" t="str">
        <f t="shared" si="16"/>
        <v/>
      </c>
      <c r="P37" s="1105" cm="1">
        <f t="array" ref="P37">MAX(IF($D$10:$D$84=D37, $S$10:$S$84))</f>
        <v>2</v>
      </c>
      <c r="Q37" s="1106">
        <f>IF((E37="B"),(MAX($Q$6:Q36)+1),0)</f>
        <v>0</v>
      </c>
      <c r="R37" s="1106">
        <f>IF((AG37&lt;0),(MAX($R$8:$R36)+1),0)</f>
        <v>6</v>
      </c>
      <c r="S37" s="1086">
        <f>IF((M37=""),0,COUNTIF($M$8:M37,M37))</f>
        <v>2</v>
      </c>
      <c r="T37" s="1086">
        <f>IFERROR(MATCH(M37,M_SYMBOL[SYMBOL],0),"")</f>
        <v>169</v>
      </c>
      <c r="U37" s="1070">
        <f>IFERROR(MATCH(E37,M_TRX_TYPE[TYPE],0),"")</f>
        <v>4</v>
      </c>
      <c r="V37" s="1107">
        <f t="shared" si="17"/>
        <v>0</v>
      </c>
      <c r="W37" s="1095">
        <f t="shared" si="18"/>
        <v>0</v>
      </c>
      <c r="X37" s="1108">
        <f t="shared" si="19"/>
        <v>-3303.29</v>
      </c>
      <c r="Y37" s="1109">
        <f ca="1">IF(S37=1,0,IF(M37="",0,IF(S37&gt;1,(SUMIF($M$8:Z36,M37,$Z$8:Z36))+(SUMIF($M$8:Z36,M37,$AA$8:AA36)),0)))</f>
        <v>16</v>
      </c>
      <c r="Z37" s="1110">
        <f t="shared" si="20"/>
        <v>0</v>
      </c>
      <c r="AA37" s="1111">
        <f t="shared" si="21"/>
        <v>-16</v>
      </c>
      <c r="AB37" s="1112">
        <f ca="1">DE_BKCDN[[#This Row],[PREVIOUS
UNITS]]+DE_BKCDN[[#This Row],[SHARES
BOUGHT]]+DE_BKCDN[[#This Row],[SHARES 
SOLD]]</f>
        <v>0</v>
      </c>
      <c r="AC37" s="1113">
        <f ca="1">IF(S37=1,0,IF(M37="",0,IF(S37&gt;1,SUMIF($M$8:AE36,M37,$AE$8:AE36)+SUMIF($M$8:AE36,M37,$AD$8:AD36),0)))</f>
        <v>3541.84</v>
      </c>
      <c r="AD37" s="1114">
        <f t="shared" si="22"/>
        <v>0</v>
      </c>
      <c r="AE37" s="1115">
        <f t="shared" ca="1" si="23"/>
        <v>-3541.84</v>
      </c>
      <c r="AF37" s="1116">
        <f t="shared" ca="1" si="24"/>
        <v>0</v>
      </c>
      <c r="AG37" s="1117">
        <f t="shared" si="25"/>
        <v>-3303.29</v>
      </c>
      <c r="AH37" s="1115">
        <f ca="1">DE_BKCDN[[#This Row],[PROCEEDS]]-DE_BKCDN[[#This Row],[SOLD]]</f>
        <v>238.55000000000018</v>
      </c>
      <c r="AI37" s="1118" t="str">
        <f t="shared" ca="1" si="29"/>
        <v/>
      </c>
      <c r="AJ37" s="1119">
        <f ca="1">IF(E37="S", DATEDIF(_xlfn.MAXIFS($F$10:F37, $D$10:D37, D37, $AB$10:AB37, "&gt;0"), F37, "d"), "")</f>
        <v>7</v>
      </c>
      <c r="AK37" s="1118" t="str">
        <f>IF(O37="H",DE_BKCDN[[#This Row],[DATE]],"")</f>
        <v/>
      </c>
      <c r="AL37" s="1120" t="str">
        <f t="shared" si="11"/>
        <v/>
      </c>
      <c r="AM37" s="1121">
        <f t="shared" si="12"/>
        <v>0</v>
      </c>
      <c r="AN37" s="1122">
        <v>0</v>
      </c>
      <c r="AO37" s="1122">
        <f>IFERROR(DE_BKCDN[[#This Row],[MKT]]*DE_BKCDN[[#This Row],[HOLDINGS]],0)</f>
        <v>0</v>
      </c>
      <c r="AP37" s="1123" t="str">
        <f t="shared" si="26"/>
        <v xml:space="preserve"> </v>
      </c>
      <c r="AQ37" s="159" t="s">
        <v>0</v>
      </c>
      <c r="AR37" s="159"/>
      <c r="AU37" s="410"/>
      <c r="AV37" s="620"/>
      <c r="AW37" s="595"/>
      <c r="AX37" s="185"/>
      <c r="AY37" s="621"/>
      <c r="AZ37" s="595"/>
      <c r="BA37" s="623"/>
      <c r="BB37" s="623"/>
      <c r="BC37" s="185"/>
    </row>
    <row r="38" spans="1:57" s="179" customFormat="1" ht="15.75" customHeight="1">
      <c r="A38" s="177"/>
      <c r="B38" s="1176">
        <v>131</v>
      </c>
      <c r="C38" s="194" t="str">
        <f t="shared" si="27"/>
        <v>BK-CDN</v>
      </c>
      <c r="D38" s="178" t="s">
        <v>773</v>
      </c>
      <c r="E38" s="179" t="s">
        <v>4</v>
      </c>
      <c r="F38" s="180">
        <v>45693</v>
      </c>
      <c r="G38" s="1096">
        <f t="shared" si="14"/>
        <v>140.63675000000001</v>
      </c>
      <c r="H38" s="182">
        <v>-40</v>
      </c>
      <c r="I38" s="183"/>
      <c r="J38" s="184">
        <v>5625.47</v>
      </c>
      <c r="K38" s="1095">
        <f t="shared" si="28"/>
        <v>-4739.4999999999973</v>
      </c>
      <c r="L38" s="1100" t="str" cm="1">
        <f t="array" ref="L38">IFERROR(INDEX(M_TRX_TYPE[#Data], U38, MATCH($C$5,M_TRX_TYPE[#Headers], 0)), "")</f>
        <v xml:space="preserve">4023 Sale of CDN Securities </v>
      </c>
      <c r="M38" s="1102" t="str">
        <f t="shared" si="15"/>
        <v>CROX</v>
      </c>
      <c r="N38" s="1103">
        <f>IF((O38="H"),(MAX($N$8:N37)+1),0)</f>
        <v>0</v>
      </c>
      <c r="O38" s="1204" t="str">
        <f t="shared" si="16"/>
        <v/>
      </c>
      <c r="P38" s="1105" cm="1">
        <f t="array" ref="P38">MAX(IF($D$10:$D$84=D38, $S$10:$S$84))</f>
        <v>2</v>
      </c>
      <c r="Q38" s="1106">
        <f>IF((E38="B"),(MAX($Q$6:Q37)+1),0)</f>
        <v>0</v>
      </c>
      <c r="R38" s="1106">
        <f>IF((AG38&lt;0),(MAX($R$8:$R37)+1),0)</f>
        <v>7</v>
      </c>
      <c r="S38" s="1086">
        <f>IF((M38=""),0,COUNTIF($M$8:M38,M38))</f>
        <v>2</v>
      </c>
      <c r="T38" s="1086">
        <f>IFERROR(MATCH(M38,M_SYMBOL[SYMBOL],0),"")</f>
        <v>76</v>
      </c>
      <c r="U38" s="1070">
        <f>IFERROR(MATCH(E38,M_TRX_TYPE[TYPE],0),"")</f>
        <v>4</v>
      </c>
      <c r="V38" s="1107">
        <f t="shared" si="17"/>
        <v>0</v>
      </c>
      <c r="W38" s="1095">
        <f t="shared" si="18"/>
        <v>0</v>
      </c>
      <c r="X38" s="1108">
        <f t="shared" si="19"/>
        <v>-5625.47</v>
      </c>
      <c r="Y38" s="1109">
        <f ca="1">IF(S38=1,0,IF(M38="",0,IF(S38&gt;1,(SUMIF($M$8:Z37,M38,$Z$8:Z37))+(SUMIF($M$8:Z37,M38,$AA$8:AA37)),0)))</f>
        <v>40</v>
      </c>
      <c r="Z38" s="1110">
        <f t="shared" si="20"/>
        <v>0</v>
      </c>
      <c r="AA38" s="1111">
        <f t="shared" si="21"/>
        <v>-40</v>
      </c>
      <c r="AB38" s="1112">
        <f ca="1">DE_BKCDN[[#This Row],[PREVIOUS
UNITS]]+DE_BKCDN[[#This Row],[SHARES
BOUGHT]]+DE_BKCDN[[#This Row],[SHARES 
SOLD]]</f>
        <v>0</v>
      </c>
      <c r="AC38" s="1113">
        <f ca="1">IF(S38=1,0,IF(M38="",0,IF(S38&gt;1,SUMIF($M$8:AE37,M38,$AE$8:AE37)+SUMIF($M$8:AE37,M38,$AD$8:AD37),0)))</f>
        <v>6151.37</v>
      </c>
      <c r="AD38" s="1114">
        <f t="shared" si="22"/>
        <v>0</v>
      </c>
      <c r="AE38" s="1115">
        <f t="shared" ca="1" si="23"/>
        <v>-6151.369999999999</v>
      </c>
      <c r="AF38" s="1116">
        <f t="shared" ca="1" si="24"/>
        <v>0</v>
      </c>
      <c r="AG38" s="1117">
        <f t="shared" si="25"/>
        <v>-5625.47</v>
      </c>
      <c r="AH38" s="1115">
        <f ca="1">DE_BKCDN[[#This Row],[PROCEEDS]]-DE_BKCDN[[#This Row],[SOLD]]</f>
        <v>525.89999999999873</v>
      </c>
      <c r="AI38" s="1118" t="str">
        <f t="shared" ca="1" si="29"/>
        <v/>
      </c>
      <c r="AJ38" s="1119">
        <f ca="1">IF(E38="S", DATEDIF(_xlfn.MAXIFS($F$10:F38, $D$10:D38, D38, $AB$10:AB38, "&gt;0"), F38, "d"), "")</f>
        <v>6</v>
      </c>
      <c r="AK38" s="1118" t="str">
        <f>IF(O38="H",DE_BKCDN[[#This Row],[DATE]],"")</f>
        <v/>
      </c>
      <c r="AL38" s="1120" t="str">
        <f t="shared" si="11"/>
        <v/>
      </c>
      <c r="AM38" s="1121">
        <f t="shared" si="12"/>
        <v>0</v>
      </c>
      <c r="AN38" s="1122">
        <v>0</v>
      </c>
      <c r="AO38" s="1122">
        <f>IFERROR(DE_BKCDN[[#This Row],[MKT]]*DE_BKCDN[[#This Row],[HOLDINGS]],0)</f>
        <v>0</v>
      </c>
      <c r="AP38" s="1123" t="str">
        <f t="shared" si="26"/>
        <v xml:space="preserve"> </v>
      </c>
      <c r="AQ38" s="159" t="s">
        <v>0</v>
      </c>
      <c r="AR38" s="159"/>
      <c r="AV38" s="625"/>
      <c r="AW38" s="595"/>
      <c r="AX38" s="185"/>
      <c r="AY38" s="621"/>
      <c r="AZ38" s="621"/>
      <c r="BA38" s="623"/>
      <c r="BB38" s="623"/>
      <c r="BC38" s="185"/>
    </row>
    <row r="39" spans="1:57" s="179" customFormat="1" ht="15.75" customHeight="1">
      <c r="A39" s="177"/>
      <c r="B39" s="1176">
        <v>132</v>
      </c>
      <c r="C39" s="194" t="str">
        <f t="shared" si="27"/>
        <v>BK-CDN</v>
      </c>
      <c r="D39" s="178" t="s">
        <v>955</v>
      </c>
      <c r="E39" s="179" t="s">
        <v>34</v>
      </c>
      <c r="F39" s="180">
        <v>45698</v>
      </c>
      <c r="G39" s="1096" t="str">
        <f t="shared" si="14"/>
        <v xml:space="preserve"> </v>
      </c>
      <c r="H39" s="182"/>
      <c r="I39" s="183"/>
      <c r="J39" s="184">
        <v>14</v>
      </c>
      <c r="K39" s="1095">
        <f t="shared" si="28"/>
        <v>-4725.4999999999973</v>
      </c>
      <c r="L39" s="1100" t="str" cm="1">
        <f t="array" ref="L39">IFERROR(INDEX(M_TRX_TYPE[#Data], U39, MATCH($C$5,M_TRX_TYPE[#Headers], 0)), "")</f>
        <v>4460 Dividends Cdn</v>
      </c>
      <c r="M39" s="1102" t="str">
        <f t="shared" si="15"/>
        <v/>
      </c>
      <c r="N39" s="1103">
        <f>IF((O39="H"),(MAX($N$8:N38)+1),0)</f>
        <v>0</v>
      </c>
      <c r="O39" s="1204" t="str">
        <f t="shared" si="16"/>
        <v/>
      </c>
      <c r="P39" s="1105" cm="1">
        <f t="array" ref="P39">MAX(IF($D$10:$D$84=D39, $S$10:$S$84))</f>
        <v>1</v>
      </c>
      <c r="Q39" s="1106">
        <f>IF((E39="B"),(MAX($Q$6:Q38)+1),0)</f>
        <v>0</v>
      </c>
      <c r="R39" s="1106">
        <f>IF((AG39&lt;0),(MAX($R$8:$R38)+1),0)</f>
        <v>0</v>
      </c>
      <c r="S39" s="1086">
        <f>IF((M39=""),0,COUNTIF($M$8:M39,M39))</f>
        <v>0</v>
      </c>
      <c r="T39" s="1086" t="str">
        <f>IFERROR(MATCH(M39,M_SYMBOL[SYMBOL],0),"")</f>
        <v/>
      </c>
      <c r="U39" s="1070">
        <f>IFERROR(MATCH(E39,M_TRX_TYPE[TYPE],0),"")</f>
        <v>7</v>
      </c>
      <c r="V39" s="1107">
        <f t="shared" si="17"/>
        <v>0</v>
      </c>
      <c r="W39" s="1095">
        <f t="shared" si="18"/>
        <v>0</v>
      </c>
      <c r="X39" s="1108">
        <f t="shared" si="19"/>
        <v>-14</v>
      </c>
      <c r="Y39" s="1109">
        <f>IF(S39=1,0,IF(M39="",0,IF(S39&gt;1,(SUMIF($M$8:Z38,M39,$Z$8:Z38))+(SUMIF($M$8:Z38,M39,$AA$8:AA38)),0)))</f>
        <v>0</v>
      </c>
      <c r="Z39" s="1110">
        <f t="shared" si="20"/>
        <v>0</v>
      </c>
      <c r="AA39" s="1111">
        <f t="shared" si="21"/>
        <v>0</v>
      </c>
      <c r="AB39" s="1112">
        <f>DE_BKCDN[[#This Row],[PREVIOUS
UNITS]]+DE_BKCDN[[#This Row],[SHARES
BOUGHT]]+DE_BKCDN[[#This Row],[SHARES 
SOLD]]</f>
        <v>0</v>
      </c>
      <c r="AC39" s="1113">
        <f>IF(S39=1,0,IF(M39="",0,IF(S39&gt;1,SUMIF($M$8:AE38,M39,$AE$8:AE38)+SUMIF($M$8:AE38,M39,$AD$8:AD38),0)))</f>
        <v>0</v>
      </c>
      <c r="AD39" s="1114">
        <f t="shared" si="22"/>
        <v>0</v>
      </c>
      <c r="AE39" s="1115">
        <f t="shared" si="23"/>
        <v>0</v>
      </c>
      <c r="AF39" s="1116">
        <f t="shared" si="24"/>
        <v>0</v>
      </c>
      <c r="AG39" s="1117">
        <f t="shared" si="25"/>
        <v>0</v>
      </c>
      <c r="AH39" s="1115">
        <f>DE_BKCDN[[#This Row],[PROCEEDS]]-DE_BKCDN[[#This Row],[SOLD]]</f>
        <v>0</v>
      </c>
      <c r="AI39" s="1118" t="str">
        <f t="shared" si="29"/>
        <v/>
      </c>
      <c r="AJ39" s="1119" t="str">
        <f>IF(E39="S", DATEDIF(_xlfn.MAXIFS($F$10:F39, $D$10:D39, D39, $AB$10:AB39, "&gt;0"), F39, "d"), "")</f>
        <v/>
      </c>
      <c r="AK39" s="1118" t="str">
        <f>IF(O39="H",DE_BKCDN[[#This Row],[DATE]],"")</f>
        <v/>
      </c>
      <c r="AL39" s="1120" t="str">
        <f t="shared" si="11"/>
        <v/>
      </c>
      <c r="AM39" s="1121">
        <f t="shared" si="12"/>
        <v>0</v>
      </c>
      <c r="AN39" s="1122">
        <v>0</v>
      </c>
      <c r="AO39" s="1122">
        <f>IFERROR(DE_BKCDN[[#This Row],[MKT]]*DE_BKCDN[[#This Row],[HOLDINGS]],0)</f>
        <v>0</v>
      </c>
      <c r="AP39" s="1123">
        <f t="shared" si="26"/>
        <v>14</v>
      </c>
      <c r="AQ39" s="159" t="s">
        <v>0</v>
      </c>
      <c r="AR39" s="159"/>
      <c r="AV39" s="625"/>
      <c r="AW39" s="595"/>
      <c r="AX39" s="185"/>
      <c r="AY39" s="621"/>
      <c r="AZ39" s="621"/>
      <c r="BA39" s="623"/>
      <c r="BB39" s="623"/>
      <c r="BC39" s="185"/>
    </row>
    <row r="40" spans="1:57" s="179" customFormat="1" ht="15.75" customHeight="1">
      <c r="A40" s="177"/>
      <c r="B40" s="1176">
        <v>133</v>
      </c>
      <c r="C40" s="194" t="str">
        <f t="shared" si="27"/>
        <v>BK-CDN</v>
      </c>
      <c r="D40" s="178" t="s">
        <v>806</v>
      </c>
      <c r="E40" s="179" t="s">
        <v>4</v>
      </c>
      <c r="F40" s="180">
        <v>45698</v>
      </c>
      <c r="G40" s="1096">
        <f t="shared" si="14"/>
        <v>77.080379746835447</v>
      </c>
      <c r="H40" s="182">
        <v>-79</v>
      </c>
      <c r="I40" s="183"/>
      <c r="J40" s="184">
        <v>6089.35</v>
      </c>
      <c r="K40" s="1095">
        <f t="shared" si="28"/>
        <v>1363.8500000000031</v>
      </c>
      <c r="L40" s="1100" t="str" cm="1">
        <f t="array" ref="L40">IFERROR(INDEX(M_TRX_TYPE[#Data], U40, MATCH($C$5,M_TRX_TYPE[#Headers], 0)), "")</f>
        <v xml:space="preserve">4023 Sale of CDN Securities </v>
      </c>
      <c r="M40" s="1102" t="str">
        <f t="shared" si="15"/>
        <v>GLW</v>
      </c>
      <c r="N40" s="1103">
        <f>IF((O40="H"),(MAX($N$8:N39)+1),0)</f>
        <v>0</v>
      </c>
      <c r="O40" s="1204" t="str">
        <f t="shared" si="16"/>
        <v/>
      </c>
      <c r="P40" s="1105" cm="1">
        <f t="array" ref="P40">MAX(IF($D$10:$D$84=D40, $S$10:$S$84))</f>
        <v>2</v>
      </c>
      <c r="Q40" s="1106">
        <f>IF((E40="B"),(MAX($Q$6:Q39)+1),0)</f>
        <v>0</v>
      </c>
      <c r="R40" s="1106">
        <f>IF((AG40&lt;0),(MAX($R$8:$R39)+1),0)</f>
        <v>8</v>
      </c>
      <c r="S40" s="1086">
        <f>IF((M40=""),0,COUNTIF($M$8:M40,M40))</f>
        <v>2</v>
      </c>
      <c r="T40" s="1086">
        <f>IFERROR(MATCH(M40,M_SYMBOL[SYMBOL],0),"")</f>
        <v>72</v>
      </c>
      <c r="U40" s="1070">
        <f>IFERROR(MATCH(E40,M_TRX_TYPE[TYPE],0),"")</f>
        <v>4</v>
      </c>
      <c r="V40" s="1107">
        <f t="shared" si="17"/>
        <v>0</v>
      </c>
      <c r="W40" s="1095">
        <f t="shared" si="18"/>
        <v>0</v>
      </c>
      <c r="X40" s="1108">
        <f t="shared" si="19"/>
        <v>-6089.35</v>
      </c>
      <c r="Y40" s="1109">
        <f ca="1">IF(S40=1,0,IF(M40="",0,IF(S40&gt;1,(SUMIF($M$8:Z39,M40,$Z$8:Z39))+(SUMIF($M$8:Z39,M40,$AA$8:AA39)),0)))</f>
        <v>79</v>
      </c>
      <c r="Z40" s="1110">
        <f t="shared" si="20"/>
        <v>0</v>
      </c>
      <c r="AA40" s="1111">
        <f t="shared" si="21"/>
        <v>-79</v>
      </c>
      <c r="AB40" s="1112">
        <f ca="1">DE_BKCDN[[#This Row],[PREVIOUS
UNITS]]+DE_BKCDN[[#This Row],[SHARES
BOUGHT]]+DE_BKCDN[[#This Row],[SHARES 
SOLD]]</f>
        <v>0</v>
      </c>
      <c r="AC40" s="1113">
        <f ca="1">IF(S40=1,0,IF(M40="",0,IF(S40&gt;1,SUMIF($M$8:AE39,M40,$AE$8:AE39)+SUMIF($M$8:AE39,M40,$AD$8:AD39),0)))</f>
        <v>5749.84</v>
      </c>
      <c r="AD40" s="1114">
        <f t="shared" si="22"/>
        <v>0</v>
      </c>
      <c r="AE40" s="1115">
        <f t="shared" ca="1" si="23"/>
        <v>-5749.84</v>
      </c>
      <c r="AF40" s="1116">
        <f t="shared" ca="1" si="24"/>
        <v>0</v>
      </c>
      <c r="AG40" s="1117">
        <f t="shared" si="25"/>
        <v>-6089.35</v>
      </c>
      <c r="AH40" s="1115">
        <f ca="1">DE_BKCDN[[#This Row],[PROCEEDS]]-DE_BKCDN[[#This Row],[SOLD]]</f>
        <v>-339.51000000000022</v>
      </c>
      <c r="AI40" s="1118" t="str">
        <f t="shared" ca="1" si="29"/>
        <v/>
      </c>
      <c r="AJ40" s="1119">
        <f ca="1">IF(E40="S", DATEDIF(_xlfn.MAXIFS($F$10:F40, $D$10:D40, D40, $AB$10:AB40, "&gt;0"), F40, "d"), "")</f>
        <v>11</v>
      </c>
      <c r="AK40" s="1118" t="str">
        <f>IF(O40="H",DE_BKCDN[[#This Row],[DATE]],"")</f>
        <v/>
      </c>
      <c r="AL40" s="1120" t="str">
        <f t="shared" si="11"/>
        <v/>
      </c>
      <c r="AM40" s="1121">
        <f t="shared" si="12"/>
        <v>0</v>
      </c>
      <c r="AN40" s="1122">
        <v>0</v>
      </c>
      <c r="AO40" s="1122">
        <f>IFERROR(DE_BKCDN[[#This Row],[MKT]]*DE_BKCDN[[#This Row],[HOLDINGS]],0)</f>
        <v>0</v>
      </c>
      <c r="AP40" s="1123" t="str">
        <f t="shared" si="26"/>
        <v xml:space="preserve"> </v>
      </c>
      <c r="AQ40" s="159" t="s">
        <v>0</v>
      </c>
      <c r="AR40" s="159"/>
      <c r="AU40" s="179" t="s">
        <v>28</v>
      </c>
      <c r="AV40" s="625" t="s">
        <v>0</v>
      </c>
      <c r="AW40" s="627"/>
      <c r="AX40" s="185"/>
      <c r="AY40" s="621"/>
      <c r="AZ40" s="621"/>
      <c r="BA40" s="623"/>
      <c r="BB40" s="623"/>
      <c r="BC40" s="185" t="s">
        <v>0</v>
      </c>
    </row>
    <row r="41" spans="1:57" s="179" customFormat="1" ht="15.75" customHeight="1">
      <c r="A41" s="177"/>
      <c r="B41" s="1176">
        <v>134</v>
      </c>
      <c r="C41" s="194" t="str">
        <f t="shared" si="27"/>
        <v>BK-CDN</v>
      </c>
      <c r="D41" s="178" t="s">
        <v>777</v>
      </c>
      <c r="E41" s="179" t="s">
        <v>3</v>
      </c>
      <c r="F41" s="180">
        <v>45698</v>
      </c>
      <c r="G41" s="1096">
        <f t="shared" si="14"/>
        <v>18.879844720496894</v>
      </c>
      <c r="H41" s="182">
        <v>322</v>
      </c>
      <c r="I41" s="183"/>
      <c r="J41" s="184">
        <v>-6079.31</v>
      </c>
      <c r="K41" s="1095">
        <f t="shared" si="28"/>
        <v>-4715.4599999999973</v>
      </c>
      <c r="L41" s="1100" t="str" cm="1">
        <f t="array" ref="L41">IFERROR(INDEX(M_TRX_TYPE[#Data], U41, MATCH($C$5,M_TRX_TYPE[#Headers], 0)), "")</f>
        <v>1131 Broker CDN Securities</v>
      </c>
      <c r="M41" s="1102" t="str">
        <f t="shared" si="15"/>
        <v>IREN</v>
      </c>
      <c r="N41" s="1103">
        <f>IF((O41="H"),(MAX($N$8:N40)+1),0)</f>
        <v>0</v>
      </c>
      <c r="O41" s="1204" t="str">
        <f t="shared" si="16"/>
        <v/>
      </c>
      <c r="P41" s="1105" cm="1">
        <f t="array" ref="P41">MAX(IF($D$10:$D$84=D41, $S$10:$S$84))</f>
        <v>2</v>
      </c>
      <c r="Q41" s="1106">
        <f>IF((E41="B"),(MAX($Q$6:Q40)+1),0)</f>
        <v>9</v>
      </c>
      <c r="R41" s="1106">
        <f>IF((AG41&lt;0),(MAX($R$8:$R40)+1),0)</f>
        <v>0</v>
      </c>
      <c r="S41" s="1086">
        <f>IF((M41=""),0,COUNTIF($M$8:M41,M41))</f>
        <v>1</v>
      </c>
      <c r="T41" s="1086">
        <f>IFERROR(MATCH(M41,M_SYMBOL[SYMBOL],0),"")</f>
        <v>119</v>
      </c>
      <c r="U41" s="1070">
        <f>IFERROR(MATCH(E41,M_TRX_TYPE[TYPE],0),"")</f>
        <v>3</v>
      </c>
      <c r="V41" s="1107">
        <f t="shared" si="17"/>
        <v>0</v>
      </c>
      <c r="W41" s="1095">
        <f t="shared" si="18"/>
        <v>0</v>
      </c>
      <c r="X41" s="1108">
        <f t="shared" si="19"/>
        <v>6079.31</v>
      </c>
      <c r="Y41" s="1109">
        <f>IF(S41=1,0,IF(M41="",0,IF(S41&gt;1,(SUMIF($M$8:Z40,M41,$Z$8:Z40))+(SUMIF($M$8:Z40,M41,$AA$8:AA40)),0)))</f>
        <v>0</v>
      </c>
      <c r="Z41" s="1110">
        <f t="shared" si="20"/>
        <v>322</v>
      </c>
      <c r="AA41" s="1111">
        <f t="shared" si="21"/>
        <v>0</v>
      </c>
      <c r="AB41" s="1112">
        <f>DE_BKCDN[[#This Row],[PREVIOUS
UNITS]]+DE_BKCDN[[#This Row],[SHARES
BOUGHT]]+DE_BKCDN[[#This Row],[SHARES 
SOLD]]</f>
        <v>322</v>
      </c>
      <c r="AC41" s="1113">
        <f>IF(S41=1,0,IF(M41="",0,IF(S41&gt;1,SUMIF($M$8:AE40,M41,$AE$8:AE40)+SUMIF($M$8:AE40,M41,$AD$8:AD40),0)))</f>
        <v>0</v>
      </c>
      <c r="AD41" s="1114">
        <f t="shared" si="22"/>
        <v>6079.31</v>
      </c>
      <c r="AE41" s="1115">
        <f t="shared" si="23"/>
        <v>0</v>
      </c>
      <c r="AF41" s="1116">
        <f t="shared" si="24"/>
        <v>6079.31</v>
      </c>
      <c r="AG41" s="1117">
        <f t="shared" si="25"/>
        <v>0</v>
      </c>
      <c r="AH41" s="1115">
        <f>DE_BKCDN[[#This Row],[PROCEEDS]]-DE_BKCDN[[#This Row],[SOLD]]</f>
        <v>0</v>
      </c>
      <c r="AI41" s="1118">
        <f t="shared" si="29"/>
        <v>45698</v>
      </c>
      <c r="AJ41" s="1119" t="str">
        <f>IF(E41="S", DATEDIF(_xlfn.MAXIFS($F$10:F41, $D$10:D41, D41, $AB$10:AB41, "&gt;0"), F41, "d"), "")</f>
        <v/>
      </c>
      <c r="AK41" s="1118" t="str">
        <f>IF(O41="H",DE_BKCDN[[#This Row],[DATE]],"")</f>
        <v/>
      </c>
      <c r="AL41" s="1120" t="str">
        <f t="shared" ref="AL41:AL72" si="32">IF(O41="","",IF(O41="H",SUMIF($M$8:$Z$93,M41,$Z$8:$Z$93)+SUMIF($M$8:$AA$93,M41,$AA$8:$AA$93)))</f>
        <v/>
      </c>
      <c r="AM41" s="1121">
        <f t="shared" ref="AM41:AM72" si="33">IF(O41="H",SUMIF($M$8:$AF$93,M41,$AD$8:$AD$93)+SUMIF($M$8:$AF$93,M41,$AE$8:$AE$93),0)</f>
        <v>0</v>
      </c>
      <c r="AN41" s="1122">
        <v>0</v>
      </c>
      <c r="AO41" s="1122">
        <f>IFERROR(DE_BKCDN[[#This Row],[MKT]]*DE_BKCDN[[#This Row],[HOLDINGS]],0)</f>
        <v>0</v>
      </c>
      <c r="AP41" s="1123" t="str">
        <f t="shared" si="26"/>
        <v xml:space="preserve"> </v>
      </c>
      <c r="AQ41" s="159" t="s">
        <v>0</v>
      </c>
      <c r="AR41" s="159"/>
      <c r="AV41" s="625"/>
      <c r="AW41" s="626"/>
      <c r="AX41" s="185"/>
      <c r="AY41" s="621"/>
      <c r="AZ41" s="621"/>
      <c r="BA41" s="623"/>
      <c r="BB41" s="623"/>
      <c r="BC41" s="185"/>
    </row>
    <row r="42" spans="1:57" s="179" customFormat="1" ht="15.75" customHeight="1">
      <c r="A42" s="177"/>
      <c r="B42" s="1176">
        <v>135</v>
      </c>
      <c r="C42" s="194" t="str">
        <f t="shared" si="27"/>
        <v>BK-CDN</v>
      </c>
      <c r="D42" s="178" t="s">
        <v>942</v>
      </c>
      <c r="E42" s="179" t="s">
        <v>34</v>
      </c>
      <c r="F42" s="180">
        <v>45702</v>
      </c>
      <c r="G42" s="1096" t="str">
        <f t="shared" si="14"/>
        <v xml:space="preserve"> </v>
      </c>
      <c r="H42" s="182"/>
      <c r="I42" s="183"/>
      <c r="J42" s="184">
        <v>16.86</v>
      </c>
      <c r="K42" s="1095">
        <f t="shared" si="28"/>
        <v>-4698.5999999999976</v>
      </c>
      <c r="L42" s="1100" t="str" cm="1">
        <f t="array" ref="L42">IFERROR(INDEX(M_TRX_TYPE[#Data], U42, MATCH($C$5,M_TRX_TYPE[#Headers], 0)), "")</f>
        <v>4460 Dividends Cdn</v>
      </c>
      <c r="M42" s="1102" t="str">
        <f t="shared" si="15"/>
        <v/>
      </c>
      <c r="N42" s="1103">
        <f>IF((O42="H"),(MAX($N$8:N41)+1),0)</f>
        <v>0</v>
      </c>
      <c r="O42" s="1204" t="str">
        <f t="shared" si="16"/>
        <v/>
      </c>
      <c r="P42" s="1105" cm="1">
        <f t="array" ref="P42">MAX(IF($D$10:$D$84=D42, $S$10:$S$84))</f>
        <v>2</v>
      </c>
      <c r="Q42" s="1106">
        <f>IF((E42="B"),(MAX($Q$6:Q41)+1),0)</f>
        <v>0</v>
      </c>
      <c r="R42" s="1106">
        <f>IF((AG42&lt;0),(MAX($R$8:$R41)+1),0)</f>
        <v>0</v>
      </c>
      <c r="S42" s="1086">
        <f>IF((M42=""),0,COUNTIF($M$8:M42,M42))</f>
        <v>0</v>
      </c>
      <c r="T42" s="1086" t="str">
        <f>IFERROR(MATCH(M42,M_SYMBOL[SYMBOL],0),"")</f>
        <v/>
      </c>
      <c r="U42" s="1070">
        <f>IFERROR(MATCH(E42,M_TRX_TYPE[TYPE],0),"")</f>
        <v>7</v>
      </c>
      <c r="V42" s="1107">
        <f t="shared" si="17"/>
        <v>0</v>
      </c>
      <c r="W42" s="1095">
        <f t="shared" si="18"/>
        <v>0</v>
      </c>
      <c r="X42" s="1108">
        <f t="shared" si="19"/>
        <v>-16.86</v>
      </c>
      <c r="Y42" s="1109">
        <f>IF(S42=1,0,IF(M42="",0,IF(S42&gt;1,(SUMIF($M$8:Z41,M42,$Z$8:Z41))+(SUMIF($M$8:Z41,M42,$AA$8:AA41)),0)))</f>
        <v>0</v>
      </c>
      <c r="Z42" s="1110">
        <f t="shared" si="20"/>
        <v>0</v>
      </c>
      <c r="AA42" s="1111">
        <f t="shared" si="21"/>
        <v>0</v>
      </c>
      <c r="AB42" s="1112">
        <f>DE_BKCDN[[#This Row],[PREVIOUS
UNITS]]+DE_BKCDN[[#This Row],[SHARES
BOUGHT]]+DE_BKCDN[[#This Row],[SHARES 
SOLD]]</f>
        <v>0</v>
      </c>
      <c r="AC42" s="1113">
        <f>IF(S42=1,0,IF(M42="",0,IF(S42&gt;1,SUMIF($M$8:AE41,M42,$AE$8:AE41)+SUMIF($M$8:AE41,M42,$AD$8:AD41),0)))</f>
        <v>0</v>
      </c>
      <c r="AD42" s="1114">
        <f t="shared" si="22"/>
        <v>0</v>
      </c>
      <c r="AE42" s="1115">
        <f t="shared" si="23"/>
        <v>0</v>
      </c>
      <c r="AF42" s="1116">
        <f t="shared" si="24"/>
        <v>0</v>
      </c>
      <c r="AG42" s="1117">
        <f t="shared" si="25"/>
        <v>0</v>
      </c>
      <c r="AH42" s="1115">
        <f>DE_BKCDN[[#This Row],[PROCEEDS]]-DE_BKCDN[[#This Row],[SOLD]]</f>
        <v>0</v>
      </c>
      <c r="AI42" s="1118" t="str">
        <f t="shared" si="29"/>
        <v/>
      </c>
      <c r="AJ42" s="1119" t="str">
        <f>IF(E42="S", DATEDIF(_xlfn.MAXIFS($F$10:F42, $D$10:D42, D42, $AB$10:AB42, "&gt;0"), F42, "d"), "")</f>
        <v/>
      </c>
      <c r="AK42" s="1118" t="str">
        <f>IF(O42="H",DE_BKCDN[[#This Row],[DATE]],"")</f>
        <v/>
      </c>
      <c r="AL42" s="1120" t="str">
        <f t="shared" si="32"/>
        <v/>
      </c>
      <c r="AM42" s="1121">
        <f t="shared" si="33"/>
        <v>0</v>
      </c>
      <c r="AN42" s="1122">
        <v>0</v>
      </c>
      <c r="AO42" s="1122">
        <f>IFERROR(DE_BKCDN[[#This Row],[MKT]]*DE_BKCDN[[#This Row],[HOLDINGS]],0)</f>
        <v>0</v>
      </c>
      <c r="AP42" s="1123">
        <f t="shared" si="26"/>
        <v>16.86</v>
      </c>
      <c r="AQ42" s="159" t="s">
        <v>0</v>
      </c>
      <c r="AR42" s="159"/>
      <c r="AV42" s="625"/>
      <c r="AW42" s="626"/>
      <c r="AX42" s="185"/>
      <c r="AY42" s="621"/>
      <c r="AZ42" s="621"/>
      <c r="BA42" s="623"/>
      <c r="BB42" s="623"/>
      <c r="BC42" s="185"/>
    </row>
    <row r="43" spans="1:57" s="179" customFormat="1" ht="15.75" customHeight="1">
      <c r="A43" s="177"/>
      <c r="B43" s="1176">
        <v>136</v>
      </c>
      <c r="C43" s="194" t="str">
        <f t="shared" si="27"/>
        <v>BK-CDN</v>
      </c>
      <c r="D43" s="178" t="s">
        <v>1009</v>
      </c>
      <c r="E43" s="179" t="s">
        <v>4</v>
      </c>
      <c r="F43" s="180">
        <v>45702</v>
      </c>
      <c r="G43" s="1096">
        <f t="shared" si="14"/>
        <v>7.264444444444444</v>
      </c>
      <c r="H43" s="182">
        <v>-99</v>
      </c>
      <c r="I43" s="183"/>
      <c r="J43" s="184">
        <v>719.18</v>
      </c>
      <c r="K43" s="1095">
        <f t="shared" si="28"/>
        <v>-3979.4199999999978</v>
      </c>
      <c r="L43" s="1100" t="str" cm="1">
        <f t="array" ref="L43">IFERROR(INDEX(M_TRX_TYPE[#Data], U43, MATCH($C$5,M_TRX_TYPE[#Headers], 0)), "")</f>
        <v xml:space="preserve">4023 Sale of CDN Securities </v>
      </c>
      <c r="M43" s="1102" t="str">
        <f t="shared" si="15"/>
        <v>VRN</v>
      </c>
      <c r="N43" s="1103">
        <f>IF((O43="H"),(MAX($N$8:N42)+1),0)</f>
        <v>0</v>
      </c>
      <c r="O43" s="1204" t="str">
        <f t="shared" si="16"/>
        <v/>
      </c>
      <c r="P43" s="1105" cm="1">
        <f t="array" ref="P43">MAX(IF($D$10:$D$84=D43, $S$10:$S$84))</f>
        <v>3</v>
      </c>
      <c r="Q43" s="1106">
        <f>IF((E43="B"),(MAX($Q$6:Q42)+1),0)</f>
        <v>0</v>
      </c>
      <c r="R43" s="1106">
        <f>IF((AG43&lt;0),(MAX($R$8:$R42)+1),0)</f>
        <v>9</v>
      </c>
      <c r="S43" s="1086">
        <f>IF((M43=""),0,COUNTIF($M$8:M43,M43))</f>
        <v>3</v>
      </c>
      <c r="T43" s="1086">
        <f>IFERROR(MATCH(M43,M_SYMBOL[SYMBOL],0),"")</f>
        <v>212</v>
      </c>
      <c r="U43" s="1070">
        <f>IFERROR(MATCH(E43,M_TRX_TYPE[TYPE],0),"")</f>
        <v>4</v>
      </c>
      <c r="V43" s="1107">
        <f t="shared" si="17"/>
        <v>0</v>
      </c>
      <c r="W43" s="1095">
        <f t="shared" si="18"/>
        <v>0</v>
      </c>
      <c r="X43" s="1108">
        <f t="shared" si="19"/>
        <v>-719.18</v>
      </c>
      <c r="Y43" s="1109">
        <f ca="1">IF(S43=1,0,IF(M43="",0,IF(S43&gt;1,(SUMIF($M$8:Z42,M43,$Z$8:Z42))+(SUMIF($M$8:Z42,M43,$AA$8:AA42)),0)))</f>
        <v>99</v>
      </c>
      <c r="Z43" s="1110">
        <f t="shared" si="20"/>
        <v>0</v>
      </c>
      <c r="AA43" s="1111">
        <f t="shared" si="21"/>
        <v>-99</v>
      </c>
      <c r="AB43" s="1112">
        <f ca="1">DE_BKCDN[[#This Row],[PREVIOUS
UNITS]]+DE_BKCDN[[#This Row],[SHARES
BOUGHT]]+DE_BKCDN[[#This Row],[SHARES 
SOLD]]</f>
        <v>0</v>
      </c>
      <c r="AC43" s="1113">
        <f ca="1">IF(S43=1,0,IF(M43="",0,IF(S43&gt;1,SUMIF($M$8:AE42,M43,$AE$8:AE42)+SUMIF($M$8:AE42,M43,$AD$8:AD42),0)))</f>
        <v>785.5</v>
      </c>
      <c r="AD43" s="1114">
        <f t="shared" si="22"/>
        <v>0</v>
      </c>
      <c r="AE43" s="1115">
        <f t="shared" ca="1" si="23"/>
        <v>-785.5</v>
      </c>
      <c r="AF43" s="1116">
        <f t="shared" ca="1" si="24"/>
        <v>0</v>
      </c>
      <c r="AG43" s="1117">
        <f t="shared" si="25"/>
        <v>-719.18</v>
      </c>
      <c r="AH43" s="1115">
        <f ca="1">DE_BKCDN[[#This Row],[PROCEEDS]]-DE_BKCDN[[#This Row],[SOLD]]</f>
        <v>66.32000000000005</v>
      </c>
      <c r="AI43" s="1118" t="str">
        <f t="shared" ca="1" si="29"/>
        <v/>
      </c>
      <c r="AJ43" s="1119">
        <f ca="1">IF(E43="S", DATEDIF(_xlfn.MAXIFS($F$10:F43, $D$10:D43, D43, $AB$10:AB43, "&gt;0"), F43, "d"), "")</f>
        <v>43</v>
      </c>
      <c r="AK43" s="1118" t="str">
        <f>IF(O43="H",DE_BKCDN[[#This Row],[DATE]],"")</f>
        <v/>
      </c>
      <c r="AL43" s="1120" t="str">
        <f t="shared" si="32"/>
        <v/>
      </c>
      <c r="AM43" s="1121">
        <f t="shared" si="33"/>
        <v>0</v>
      </c>
      <c r="AN43" s="1122">
        <v>0</v>
      </c>
      <c r="AO43" s="1122">
        <f>IFERROR(DE_BKCDN[[#This Row],[MKT]]*DE_BKCDN[[#This Row],[HOLDINGS]],0)</f>
        <v>0</v>
      </c>
      <c r="AP43" s="1123" t="str">
        <f t="shared" si="26"/>
        <v xml:space="preserve"> </v>
      </c>
      <c r="AQ43" s="159" t="s">
        <v>0</v>
      </c>
      <c r="AR43" s="159"/>
      <c r="AV43" s="625"/>
      <c r="AW43" s="626"/>
      <c r="AX43" s="185"/>
      <c r="AY43" s="621"/>
      <c r="AZ43" s="621"/>
      <c r="BA43" s="623"/>
      <c r="BB43" s="623"/>
      <c r="BC43" s="185"/>
    </row>
    <row r="44" spans="1:57" s="179" customFormat="1" ht="15.75" customHeight="1">
      <c r="A44" s="177"/>
      <c r="B44" s="1176">
        <v>137</v>
      </c>
      <c r="C44" s="194" t="str">
        <f t="shared" si="27"/>
        <v>BK-CDN</v>
      </c>
      <c r="D44" s="178" t="s">
        <v>893</v>
      </c>
      <c r="E44" s="179" t="s">
        <v>3</v>
      </c>
      <c r="F44" s="180">
        <v>45702</v>
      </c>
      <c r="G44" s="1096">
        <f t="shared" si="14"/>
        <v>4.8899999999999997</v>
      </c>
      <c r="H44" s="182">
        <v>100</v>
      </c>
      <c r="I44" s="183"/>
      <c r="J44" s="184">
        <f>-482-7</f>
        <v>-489</v>
      </c>
      <c r="K44" s="1095">
        <f t="shared" si="28"/>
        <v>-4468.4199999999983</v>
      </c>
      <c r="L44" s="1100" t="str" cm="1">
        <f t="array" ref="L44">IFERROR(INDEX(M_TRX_TYPE[#Data], U44, MATCH($C$5,M_TRX_TYPE[#Headers], 0)), "")</f>
        <v>1131 Broker CDN Securities</v>
      </c>
      <c r="M44" s="1102" t="str">
        <f t="shared" si="15"/>
        <v>ADW.A</v>
      </c>
      <c r="N44" s="1103">
        <f>IF((O44="H"),(MAX($N$8:N43)+1),0)</f>
        <v>0</v>
      </c>
      <c r="O44" s="1204" t="str">
        <f t="shared" si="16"/>
        <v/>
      </c>
      <c r="P44" s="1105" cm="1">
        <f t="array" ref="P44">MAX(IF($D$10:$D$84=D44, $S$10:$S$84))</f>
        <v>3</v>
      </c>
      <c r="Q44" s="1106">
        <f>IF((E44="B"),(MAX($Q$6:Q43)+1),0)</f>
        <v>10</v>
      </c>
      <c r="R44" s="1106">
        <f>IF((AG44&lt;0),(MAX($R$8:$R43)+1),0)</f>
        <v>0</v>
      </c>
      <c r="S44" s="1086">
        <f>IF((M44=""),0,COUNTIF($M$8:M44,M44))</f>
        <v>1</v>
      </c>
      <c r="T44" s="1086">
        <f>IFERROR(MATCH(M44,M_SYMBOL[SYMBOL],0),"")</f>
        <v>32</v>
      </c>
      <c r="U44" s="1070">
        <f>IFERROR(MATCH(E44,M_TRX_TYPE[TYPE],0),"")</f>
        <v>3</v>
      </c>
      <c r="V44" s="1107">
        <f t="shared" si="17"/>
        <v>0</v>
      </c>
      <c r="W44" s="1095">
        <f t="shared" si="18"/>
        <v>0</v>
      </c>
      <c r="X44" s="1108">
        <f t="shared" si="19"/>
        <v>489</v>
      </c>
      <c r="Y44" s="1109">
        <f>IF(S44=1,0,IF(M44="",0,IF(S44&gt;1,(SUMIF($M$8:Z43,M44,$Z$8:Z43))+(SUMIF($M$8:Z43,M44,$AA$8:AA43)),0)))</f>
        <v>0</v>
      </c>
      <c r="Z44" s="1110">
        <f t="shared" si="20"/>
        <v>100</v>
      </c>
      <c r="AA44" s="1111">
        <f t="shared" si="21"/>
        <v>0</v>
      </c>
      <c r="AB44" s="1112">
        <f>DE_BKCDN[[#This Row],[PREVIOUS
UNITS]]+DE_BKCDN[[#This Row],[SHARES
BOUGHT]]+DE_BKCDN[[#This Row],[SHARES 
SOLD]]</f>
        <v>100</v>
      </c>
      <c r="AC44" s="1113">
        <f>IF(S44=1,0,IF(M44="",0,IF(S44&gt;1,SUMIF($M$8:AE43,M44,$AE$8:AE43)+SUMIF($M$8:AE43,M44,$AD$8:AD43),0)))</f>
        <v>0</v>
      </c>
      <c r="AD44" s="1114">
        <f t="shared" si="22"/>
        <v>489</v>
      </c>
      <c r="AE44" s="1115">
        <f t="shared" si="23"/>
        <v>0</v>
      </c>
      <c r="AF44" s="1116">
        <f t="shared" si="24"/>
        <v>489</v>
      </c>
      <c r="AG44" s="1117">
        <f t="shared" si="25"/>
        <v>0</v>
      </c>
      <c r="AH44" s="1115">
        <f>DE_BKCDN[[#This Row],[PROCEEDS]]-DE_BKCDN[[#This Row],[SOLD]]</f>
        <v>0</v>
      </c>
      <c r="AI44" s="1118">
        <f t="shared" si="29"/>
        <v>45702</v>
      </c>
      <c r="AJ44" s="1119" t="str">
        <f>IF(E44="S", DATEDIF(_xlfn.MAXIFS($F$10:F44, $D$10:D44, D44, $AB$10:AB44, "&gt;0"), F44, "d"), "")</f>
        <v/>
      </c>
      <c r="AK44" s="1118" t="str">
        <f>IF(O44="H",DE_BKCDN[[#This Row],[DATE]],"")</f>
        <v/>
      </c>
      <c r="AL44" s="1120" t="str">
        <f t="shared" si="32"/>
        <v/>
      </c>
      <c r="AM44" s="1121">
        <f t="shared" si="33"/>
        <v>0</v>
      </c>
      <c r="AN44" s="1122">
        <v>0</v>
      </c>
      <c r="AO44" s="1122">
        <f>IFERROR(DE_BKCDN[[#This Row],[MKT]]*DE_BKCDN[[#This Row],[HOLDINGS]],0)</f>
        <v>0</v>
      </c>
      <c r="AP44" s="1123" t="str">
        <f t="shared" si="26"/>
        <v xml:space="preserve"> </v>
      </c>
      <c r="AQ44" s="159" t="s">
        <v>0</v>
      </c>
      <c r="AR44" s="159"/>
      <c r="AU44" s="179" t="s">
        <v>28</v>
      </c>
      <c r="AV44" s="625" t="s">
        <v>0</v>
      </c>
      <c r="AW44" s="626"/>
      <c r="AX44" s="185"/>
      <c r="AY44" s="621"/>
      <c r="AZ44" s="621"/>
      <c r="BA44" s="623"/>
      <c r="BB44" s="623"/>
      <c r="BC44" s="185" t="s">
        <v>0</v>
      </c>
    </row>
    <row r="45" spans="1:57" s="179" customFormat="1" ht="15.75" customHeight="1">
      <c r="A45" s="177"/>
      <c r="B45" s="1176">
        <v>138</v>
      </c>
      <c r="C45" s="194" t="str">
        <f t="shared" si="27"/>
        <v>BK-CDN</v>
      </c>
      <c r="D45" s="178" t="s">
        <v>939</v>
      </c>
      <c r="E45" s="179" t="s">
        <v>4</v>
      </c>
      <c r="F45" s="180">
        <v>45708</v>
      </c>
      <c r="G45" s="1096">
        <f t="shared" si="14"/>
        <v>76.887627118644062</v>
      </c>
      <c r="H45" s="182">
        <v>-118</v>
      </c>
      <c r="I45" s="183"/>
      <c r="J45" s="184">
        <f>7688+1384.74</f>
        <v>9072.74</v>
      </c>
      <c r="K45" s="1095">
        <f t="shared" si="28"/>
        <v>4604.3200000000015</v>
      </c>
      <c r="L45" s="1100" t="str" cm="1">
        <f t="array" ref="L45">IFERROR(INDEX(M_TRX_TYPE[#Data], U45, MATCH($C$5,M_TRX_TYPE[#Headers], 0)), "")</f>
        <v xml:space="preserve">4023 Sale of CDN Securities </v>
      </c>
      <c r="M45" s="1102" t="str">
        <f t="shared" si="15"/>
        <v>GIL</v>
      </c>
      <c r="N45" s="1103">
        <f>IF((O45="H"),(MAX($N$8:N44)+1),0)</f>
        <v>0</v>
      </c>
      <c r="O45" s="1204" t="str">
        <f t="shared" si="16"/>
        <v/>
      </c>
      <c r="P45" s="1105" cm="1">
        <f t="array" ref="P45">MAX(IF($D$10:$D$84=D45, $S$10:$S$84))</f>
        <v>2</v>
      </c>
      <c r="Q45" s="1106">
        <f>IF((E45="B"),(MAX($Q$6:Q44)+1),0)</f>
        <v>0</v>
      </c>
      <c r="R45" s="1106">
        <f>IF((AG45&lt;0),(MAX($R$8:$R44)+1),0)</f>
        <v>10</v>
      </c>
      <c r="S45" s="1086">
        <f>IF((M45=""),0,COUNTIF($M$8:M45,M45))</f>
        <v>2</v>
      </c>
      <c r="T45" s="1086">
        <f>IFERROR(MATCH(M45,M_SYMBOL[SYMBOL],0),"")</f>
        <v>106</v>
      </c>
      <c r="U45" s="1070">
        <f>IFERROR(MATCH(E45,M_TRX_TYPE[TYPE],0),"")</f>
        <v>4</v>
      </c>
      <c r="V45" s="1107">
        <f t="shared" si="17"/>
        <v>0</v>
      </c>
      <c r="W45" s="1095">
        <f t="shared" si="18"/>
        <v>0</v>
      </c>
      <c r="X45" s="1108">
        <f t="shared" si="19"/>
        <v>-9072.74</v>
      </c>
      <c r="Y45" s="1109">
        <f ca="1">IF(S45=1,0,IF(M45="",0,IF(S45&gt;1,(SUMIF($M$8:Z44,M45,$Z$8:Z44))+(SUMIF($M$8:Z44,M45,$AA$8:AA44)),0)))</f>
        <v>118</v>
      </c>
      <c r="Z45" s="1110">
        <f t="shared" si="20"/>
        <v>0</v>
      </c>
      <c r="AA45" s="1111">
        <f t="shared" si="21"/>
        <v>-118</v>
      </c>
      <c r="AB45" s="1112">
        <f ca="1">DE_BKCDN[[#This Row],[PREVIOUS
UNITS]]+DE_BKCDN[[#This Row],[SHARES
BOUGHT]]+DE_BKCDN[[#This Row],[SHARES 
SOLD]]</f>
        <v>0</v>
      </c>
      <c r="AC45" s="1113">
        <f ca="1">IF(S45=1,0,IF(M45="",0,IF(S45&gt;1,SUMIF($M$8:AE44,M45,$AE$8:AE44)+SUMIF($M$8:AE44,M45,$AD$8:AD44),0)))</f>
        <v>8890.5400000000009</v>
      </c>
      <c r="AD45" s="1114">
        <f t="shared" si="22"/>
        <v>0</v>
      </c>
      <c r="AE45" s="1115">
        <f t="shared" ca="1" si="23"/>
        <v>-8890.5400000000009</v>
      </c>
      <c r="AF45" s="1116">
        <f t="shared" ca="1" si="24"/>
        <v>0</v>
      </c>
      <c r="AG45" s="1117">
        <f t="shared" si="25"/>
        <v>-9072.74</v>
      </c>
      <c r="AH45" s="1115">
        <f ca="1">DE_BKCDN[[#This Row],[PROCEEDS]]-DE_BKCDN[[#This Row],[SOLD]]</f>
        <v>-182.19999999999891</v>
      </c>
      <c r="AI45" s="1118" t="str">
        <f t="shared" ca="1" si="29"/>
        <v/>
      </c>
      <c r="AJ45" s="1119">
        <f ca="1">IF(E45="S", DATEDIF(_xlfn.MAXIFS($F$10:F45, $D$10:D45, D45, $AB$10:AB45, "&gt;0"), F45, "d"), "")</f>
        <v>15</v>
      </c>
      <c r="AK45" s="1118" t="str">
        <f>IF(O45="H",DE_BKCDN[[#This Row],[DATE]],"")</f>
        <v/>
      </c>
      <c r="AL45" s="1120" t="str">
        <f t="shared" si="32"/>
        <v/>
      </c>
      <c r="AM45" s="1121">
        <f t="shared" si="33"/>
        <v>0</v>
      </c>
      <c r="AN45" s="1122">
        <v>0</v>
      </c>
      <c r="AO45" s="1122">
        <f>IFERROR(DE_BKCDN[[#This Row],[MKT]]*DE_BKCDN[[#This Row],[HOLDINGS]],0)</f>
        <v>0</v>
      </c>
      <c r="AP45" s="1123" t="str">
        <f t="shared" si="26"/>
        <v xml:space="preserve"> </v>
      </c>
      <c r="AQ45" s="159" t="s">
        <v>0</v>
      </c>
      <c r="AR45" s="159"/>
      <c r="AU45" s="179" t="s">
        <v>28</v>
      </c>
      <c r="AV45" s="625" t="s">
        <v>0</v>
      </c>
      <c r="AW45" s="626"/>
      <c r="AX45" s="185"/>
      <c r="AY45" s="621"/>
      <c r="AZ45" s="621"/>
      <c r="BA45" s="623"/>
      <c r="BB45" s="623"/>
      <c r="BC45" s="185" t="s">
        <v>0</v>
      </c>
    </row>
    <row r="46" spans="1:57" s="179" customFormat="1" ht="15.75" customHeight="1">
      <c r="A46" s="177"/>
      <c r="B46" s="1176">
        <v>139</v>
      </c>
      <c r="C46" s="194" t="str">
        <f t="shared" si="27"/>
        <v>BK-CDN</v>
      </c>
      <c r="D46" s="178" t="s">
        <v>777</v>
      </c>
      <c r="E46" s="179" t="s">
        <v>4</v>
      </c>
      <c r="F46" s="180">
        <v>45708</v>
      </c>
      <c r="G46" s="1096">
        <f t="shared" si="14"/>
        <v>17.248788819875774</v>
      </c>
      <c r="H46" s="182">
        <v>-322</v>
      </c>
      <c r="I46" s="183"/>
      <c r="J46" s="184">
        <v>5554.11</v>
      </c>
      <c r="K46" s="1095">
        <f t="shared" si="28"/>
        <v>10158.43</v>
      </c>
      <c r="L46" s="1100" t="str" cm="1">
        <f t="array" ref="L46">IFERROR(INDEX(M_TRX_TYPE[#Data], U46, MATCH($C$5,M_TRX_TYPE[#Headers], 0)), "")</f>
        <v xml:space="preserve">4023 Sale of CDN Securities </v>
      </c>
      <c r="M46" s="1102" t="str">
        <f t="shared" si="15"/>
        <v>IREN</v>
      </c>
      <c r="N46" s="1103">
        <f>IF((O46="H"),(MAX($N$8:N45)+1),0)</f>
        <v>0</v>
      </c>
      <c r="O46" s="1204" t="str">
        <f t="shared" si="16"/>
        <v/>
      </c>
      <c r="P46" s="1105" cm="1">
        <f t="array" ref="P46">MAX(IF($D$10:$D$84=D46, $S$10:$S$84))</f>
        <v>2</v>
      </c>
      <c r="Q46" s="1106">
        <f>IF((E46="B"),(MAX($Q$6:Q45)+1),0)</f>
        <v>0</v>
      </c>
      <c r="R46" s="1106">
        <f>IF((AG46&lt;0),(MAX($R$8:$R45)+1),0)</f>
        <v>11</v>
      </c>
      <c r="S46" s="1086">
        <f>IF((M46=""),0,COUNTIF($M$8:M46,M46))</f>
        <v>2</v>
      </c>
      <c r="T46" s="1086">
        <f>IFERROR(MATCH(M46,M_SYMBOL[SYMBOL],0),"")</f>
        <v>119</v>
      </c>
      <c r="U46" s="1070">
        <f>IFERROR(MATCH(E46,M_TRX_TYPE[TYPE],0),"")</f>
        <v>4</v>
      </c>
      <c r="V46" s="1107">
        <f t="shared" si="17"/>
        <v>0</v>
      </c>
      <c r="W46" s="1095">
        <f t="shared" si="18"/>
        <v>0</v>
      </c>
      <c r="X46" s="1108">
        <f t="shared" si="19"/>
        <v>-5554.11</v>
      </c>
      <c r="Y46" s="1109">
        <f ca="1">IF(S46=1,0,IF(M46="",0,IF(S46&gt;1,(SUMIF($M$8:Z45,M46,$Z$8:Z45))+(SUMIF($M$8:Z45,M46,$AA$8:AA45)),0)))</f>
        <v>322</v>
      </c>
      <c r="Z46" s="1110">
        <f t="shared" si="20"/>
        <v>0</v>
      </c>
      <c r="AA46" s="1111">
        <f t="shared" si="21"/>
        <v>-322</v>
      </c>
      <c r="AB46" s="1112">
        <f ca="1">DE_BKCDN[[#This Row],[PREVIOUS
UNITS]]+DE_BKCDN[[#This Row],[SHARES
BOUGHT]]+DE_BKCDN[[#This Row],[SHARES 
SOLD]]</f>
        <v>0</v>
      </c>
      <c r="AC46" s="1113">
        <f ca="1">IF(S46=1,0,IF(M46="",0,IF(S46&gt;1,SUMIF($M$8:AE45,M46,$AE$8:AE45)+SUMIF($M$8:AE45,M46,$AD$8:AD45),0)))</f>
        <v>6079.31</v>
      </c>
      <c r="AD46" s="1114">
        <f t="shared" si="22"/>
        <v>0</v>
      </c>
      <c r="AE46" s="1115">
        <f t="shared" ca="1" si="23"/>
        <v>-6079.31</v>
      </c>
      <c r="AF46" s="1116">
        <f t="shared" ca="1" si="24"/>
        <v>0</v>
      </c>
      <c r="AG46" s="1117">
        <f t="shared" si="25"/>
        <v>-5554.11</v>
      </c>
      <c r="AH46" s="1115">
        <f ca="1">DE_BKCDN[[#This Row],[PROCEEDS]]-DE_BKCDN[[#This Row],[SOLD]]</f>
        <v>525.20000000000073</v>
      </c>
      <c r="AI46" s="1118" t="str">
        <f t="shared" ca="1" si="29"/>
        <v/>
      </c>
      <c r="AJ46" s="1119">
        <f ca="1">IF(E46="S", DATEDIF(_xlfn.MAXIFS($F$10:F46, $D$10:D46, D46, $AB$10:AB46, "&gt;0"), F46, "d"), "")</f>
        <v>10</v>
      </c>
      <c r="AK46" s="1118" t="str">
        <f>IF(O46="H",DE_BKCDN[[#This Row],[DATE]],"")</f>
        <v/>
      </c>
      <c r="AL46" s="1120" t="str">
        <f t="shared" si="32"/>
        <v/>
      </c>
      <c r="AM46" s="1121">
        <f t="shared" si="33"/>
        <v>0</v>
      </c>
      <c r="AN46" s="1122">
        <v>0</v>
      </c>
      <c r="AO46" s="1122">
        <f>IFERROR(DE_BKCDN[[#This Row],[MKT]]*DE_BKCDN[[#This Row],[HOLDINGS]],0)</f>
        <v>0</v>
      </c>
      <c r="AP46" s="1123" t="str">
        <f t="shared" si="26"/>
        <v xml:space="preserve"> </v>
      </c>
      <c r="AQ46" s="159" t="s">
        <v>0</v>
      </c>
      <c r="AR46" s="159"/>
      <c r="AU46" s="179" t="s">
        <v>28</v>
      </c>
      <c r="AV46" s="625" t="s">
        <v>0</v>
      </c>
      <c r="AW46" s="626"/>
      <c r="AX46" s="185"/>
      <c r="AY46" s="621"/>
      <c r="AZ46" s="621"/>
      <c r="BA46" s="623"/>
      <c r="BB46" s="623"/>
      <c r="BC46" s="185" t="s">
        <v>0</v>
      </c>
    </row>
    <row r="47" spans="1:57" s="179" customFormat="1" ht="15.75" customHeight="1">
      <c r="A47" s="177"/>
      <c r="B47" s="1176">
        <v>140</v>
      </c>
      <c r="C47" s="194" t="str">
        <f t="shared" si="27"/>
        <v>BK-CDN</v>
      </c>
      <c r="D47" s="178" t="s">
        <v>903</v>
      </c>
      <c r="E47" s="179" t="s">
        <v>3</v>
      </c>
      <c r="F47" s="180">
        <v>45709</v>
      </c>
      <c r="G47" s="1096">
        <f t="shared" si="14"/>
        <v>147.35660377358491</v>
      </c>
      <c r="H47" s="182">
        <v>106</v>
      </c>
      <c r="I47" s="183"/>
      <c r="J47" s="184">
        <v>-15619.8</v>
      </c>
      <c r="K47" s="1095">
        <f t="shared" si="28"/>
        <v>-5461.369999999999</v>
      </c>
      <c r="L47" s="1100" t="str" cm="1">
        <f t="array" ref="L47">IFERROR(INDEX(M_TRX_TYPE[#Data], U47, MATCH($C$5,M_TRX_TYPE[#Headers], 0)), "")</f>
        <v>1131 Broker CDN Securities</v>
      </c>
      <c r="M47" s="1102" t="str">
        <f t="shared" si="15"/>
        <v>CNR</v>
      </c>
      <c r="N47" s="1103">
        <f>IF((O47="H"),(MAX($N$8:N46)+1),0)</f>
        <v>0</v>
      </c>
      <c r="O47" s="1204" t="str">
        <f t="shared" si="16"/>
        <v/>
      </c>
      <c r="P47" s="1105" cm="1">
        <f t="array" ref="P47">MAX(IF($D$10:$D$84=D47, $S$10:$S$84))</f>
        <v>2</v>
      </c>
      <c r="Q47" s="1106">
        <f>IF((E47="B"),(MAX($Q$6:Q46)+1),0)</f>
        <v>11</v>
      </c>
      <c r="R47" s="1106">
        <f>IF((AG47&lt;0),(MAX($R$8:$R46)+1),0)</f>
        <v>0</v>
      </c>
      <c r="S47" s="1086">
        <f>IF((M47=""),0,COUNTIF($M$8:M47,M47))</f>
        <v>1</v>
      </c>
      <c r="T47" s="1086">
        <f>IFERROR(MATCH(M47,M_SYMBOL[SYMBOL],0),"")</f>
        <v>51</v>
      </c>
      <c r="U47" s="1070">
        <f>IFERROR(MATCH(E47,M_TRX_TYPE[TYPE],0),"")</f>
        <v>3</v>
      </c>
      <c r="V47" s="1107">
        <f t="shared" si="17"/>
        <v>0</v>
      </c>
      <c r="W47" s="1095">
        <f t="shared" si="18"/>
        <v>0</v>
      </c>
      <c r="X47" s="1108">
        <f t="shared" si="19"/>
        <v>15619.8</v>
      </c>
      <c r="Y47" s="1109">
        <f>IF(S47=1,0,IF(M47="",0,IF(S47&gt;1,(SUMIF($M$8:Z46,M47,$Z$8:Z46))+(SUMIF($M$8:Z46,M47,$AA$8:AA46)),0)))</f>
        <v>0</v>
      </c>
      <c r="Z47" s="1110">
        <f t="shared" si="20"/>
        <v>106</v>
      </c>
      <c r="AA47" s="1111">
        <f t="shared" si="21"/>
        <v>0</v>
      </c>
      <c r="AB47" s="1112">
        <f>DE_BKCDN[[#This Row],[PREVIOUS
UNITS]]+DE_BKCDN[[#This Row],[SHARES
BOUGHT]]+DE_BKCDN[[#This Row],[SHARES 
SOLD]]</f>
        <v>106</v>
      </c>
      <c r="AC47" s="1113">
        <f>IF(S47=1,0,IF(M47="",0,IF(S47&gt;1,SUMIF($M$8:AE46,M47,$AE$8:AE46)+SUMIF($M$8:AE46,M47,$AD$8:AD46),0)))</f>
        <v>0</v>
      </c>
      <c r="AD47" s="1114">
        <f t="shared" si="22"/>
        <v>15619.8</v>
      </c>
      <c r="AE47" s="1115">
        <f t="shared" si="23"/>
        <v>0</v>
      </c>
      <c r="AF47" s="1116">
        <f t="shared" si="24"/>
        <v>15619.8</v>
      </c>
      <c r="AG47" s="1117">
        <f t="shared" si="25"/>
        <v>0</v>
      </c>
      <c r="AH47" s="1115">
        <f>DE_BKCDN[[#This Row],[PROCEEDS]]-DE_BKCDN[[#This Row],[SOLD]]</f>
        <v>0</v>
      </c>
      <c r="AI47" s="1118">
        <f t="shared" si="29"/>
        <v>45709</v>
      </c>
      <c r="AJ47" s="1119" t="str">
        <f>IF(E47="S", DATEDIF(_xlfn.MAXIFS($F$10:F47, $D$10:D47, D47, $AB$10:AB47, "&gt;0"), F47, "d"), "")</f>
        <v/>
      </c>
      <c r="AK47" s="1118" t="str">
        <f>IF(O47="H",DE_BKCDN[[#This Row],[DATE]],"")</f>
        <v/>
      </c>
      <c r="AL47" s="1120" t="str">
        <f t="shared" si="32"/>
        <v/>
      </c>
      <c r="AM47" s="1121">
        <f t="shared" si="33"/>
        <v>0</v>
      </c>
      <c r="AN47" s="1122">
        <v>0</v>
      </c>
      <c r="AO47" s="1122">
        <f>IFERROR(DE_BKCDN[[#This Row],[MKT]]*DE_BKCDN[[#This Row],[HOLDINGS]],0)</f>
        <v>0</v>
      </c>
      <c r="AP47" s="1123" t="str">
        <f t="shared" si="26"/>
        <v xml:space="preserve"> </v>
      </c>
      <c r="AQ47" s="159" t="s">
        <v>0</v>
      </c>
      <c r="AR47" s="159"/>
      <c r="AU47" s="179" t="s">
        <v>28</v>
      </c>
      <c r="AV47" s="625" t="s">
        <v>0</v>
      </c>
      <c r="AW47" s="626"/>
      <c r="AX47" s="185"/>
      <c r="AY47" s="621"/>
      <c r="AZ47" s="621"/>
      <c r="BA47" s="623"/>
      <c r="BB47" s="623"/>
      <c r="BC47" s="185" t="s">
        <v>0</v>
      </c>
    </row>
    <row r="48" spans="1:57" s="179" customFormat="1" ht="15.75" customHeight="1">
      <c r="A48" s="177"/>
      <c r="B48" s="1176">
        <v>141</v>
      </c>
      <c r="C48" s="194" t="str">
        <f t="shared" si="27"/>
        <v>BK-CDN</v>
      </c>
      <c r="D48" s="183" t="s">
        <v>942</v>
      </c>
      <c r="E48" s="179" t="s">
        <v>4</v>
      </c>
      <c r="F48" s="180">
        <v>45719</v>
      </c>
      <c r="G48" s="1096">
        <f t="shared" si="14"/>
        <v>67.53</v>
      </c>
      <c r="H48" s="182">
        <v>-70</v>
      </c>
      <c r="I48" s="183"/>
      <c r="J48" s="184">
        <v>4727.1000000000004</v>
      </c>
      <c r="K48" s="1095">
        <f t="shared" si="28"/>
        <v>-734.26999999999862</v>
      </c>
      <c r="L48" s="1100" t="str" cm="1">
        <f t="array" ref="L48">IFERROR(INDEX(M_TRX_TYPE[#Data], U48, MATCH($C$5,M_TRX_TYPE[#Headers], 0)), "")</f>
        <v xml:space="preserve">4023 Sale of CDN Securities </v>
      </c>
      <c r="M48" s="1102" t="str">
        <f t="shared" si="15"/>
        <v>GRT.UN</v>
      </c>
      <c r="N48" s="1103">
        <f>IF((O48="H"),(MAX($N$8:N47)+1),0)</f>
        <v>0</v>
      </c>
      <c r="O48" s="1204" t="str">
        <f t="shared" si="16"/>
        <v/>
      </c>
      <c r="P48" s="1105" cm="1">
        <f t="array" ref="P48">MAX(IF($D$10:$D$84=D48, $S$10:$S$84))</f>
        <v>2</v>
      </c>
      <c r="Q48" s="1106">
        <f>IF((E48="B"),(MAX($Q$6:Q47)+1),0)</f>
        <v>0</v>
      </c>
      <c r="R48" s="1106">
        <f>IF((AG48&lt;0),(MAX($R$8:$R47)+1),0)</f>
        <v>12</v>
      </c>
      <c r="S48" s="1086">
        <f>IF((M48=""),0,COUNTIF($M$8:M48,M48))</f>
        <v>2</v>
      </c>
      <c r="T48" s="1086">
        <f>IFERROR(MATCH(M48,M_SYMBOL[SYMBOL],0),"")</f>
        <v>110</v>
      </c>
      <c r="U48" s="1070">
        <f>IFERROR(MATCH(E48,M_TRX_TYPE[TYPE],0),"")</f>
        <v>4</v>
      </c>
      <c r="V48" s="1107">
        <f t="shared" si="17"/>
        <v>0</v>
      </c>
      <c r="W48" s="1095">
        <f t="shared" si="18"/>
        <v>0</v>
      </c>
      <c r="X48" s="1108">
        <f t="shared" si="19"/>
        <v>-4727.1000000000004</v>
      </c>
      <c r="Y48" s="1109">
        <f ca="1">IF(S48=1,0,IF(M48="",0,IF(S48&gt;1,(SUMIF($M$8:Z47,M48,$Z$8:Z47))+(SUMIF($M$8:Z47,M48,$AA$8:AA47)),0)))</f>
        <v>70</v>
      </c>
      <c r="Z48" s="1110">
        <f t="shared" si="20"/>
        <v>0</v>
      </c>
      <c r="AA48" s="1111">
        <f t="shared" si="21"/>
        <v>-70</v>
      </c>
      <c r="AB48" s="1112">
        <f ca="1">DE_BKCDN[[#This Row],[PREVIOUS
UNITS]]+DE_BKCDN[[#This Row],[SHARES
BOUGHT]]+DE_BKCDN[[#This Row],[SHARES 
SOLD]]</f>
        <v>0</v>
      </c>
      <c r="AC48" s="1113">
        <f ca="1">IF(S48=1,0,IF(M48="",0,IF(S48&gt;1,SUMIF($M$8:AE47,M48,$AE$8:AE47)+SUMIF($M$8:AE47,M48,$AD$8:AD47),0)))</f>
        <v>4926.09</v>
      </c>
      <c r="AD48" s="1114">
        <f t="shared" si="22"/>
        <v>0</v>
      </c>
      <c r="AE48" s="1115">
        <f t="shared" ca="1" si="23"/>
        <v>-4926.0899999999992</v>
      </c>
      <c r="AF48" s="1116">
        <f t="shared" ca="1" si="24"/>
        <v>0</v>
      </c>
      <c r="AG48" s="1117">
        <f t="shared" si="25"/>
        <v>-4727.1000000000004</v>
      </c>
      <c r="AH48" s="1115">
        <f ca="1">DE_BKCDN[[#This Row],[PROCEEDS]]-DE_BKCDN[[#This Row],[SOLD]]</f>
        <v>198.98999999999887</v>
      </c>
      <c r="AI48" s="1118" t="str">
        <f t="shared" ca="1" si="29"/>
        <v/>
      </c>
      <c r="AJ48" s="1119">
        <f ca="1">IF(E48="S", DATEDIF(_xlfn.MAXIFS($F$10:F48, $D$10:D48, D48, $AB$10:AB48, "&gt;0"), F48, "d"), "")</f>
        <v>318</v>
      </c>
      <c r="AK48" s="1118" t="str">
        <f>IF(O48="H",DE_BKCDN[[#This Row],[DATE]],"")</f>
        <v/>
      </c>
      <c r="AL48" s="1120" t="str">
        <f t="shared" si="32"/>
        <v/>
      </c>
      <c r="AM48" s="1121">
        <f t="shared" si="33"/>
        <v>0</v>
      </c>
      <c r="AN48" s="1122">
        <v>0</v>
      </c>
      <c r="AO48" s="1122">
        <f>IFERROR(DE_BKCDN[[#This Row],[MKT]]*DE_BKCDN[[#This Row],[HOLDINGS]],0)</f>
        <v>0</v>
      </c>
      <c r="AP48" s="1123" t="str">
        <f t="shared" si="26"/>
        <v xml:space="preserve"> </v>
      </c>
      <c r="AQ48" s="159" t="s">
        <v>0</v>
      </c>
      <c r="AR48" s="159"/>
      <c r="AU48" s="179" t="s">
        <v>28</v>
      </c>
      <c r="AV48" s="625" t="s">
        <v>0</v>
      </c>
      <c r="AW48" s="626"/>
      <c r="AX48" s="185"/>
      <c r="AY48" s="621"/>
      <c r="AZ48" s="621"/>
      <c r="BA48" s="623"/>
      <c r="BB48" s="623"/>
      <c r="BC48" s="185" t="s">
        <v>0</v>
      </c>
    </row>
    <row r="49" spans="1:44" s="179" customFormat="1" ht="15.75" customHeight="1">
      <c r="A49" s="177"/>
      <c r="B49" s="1176">
        <v>142</v>
      </c>
      <c r="C49" s="194" t="str">
        <f t="shared" si="27"/>
        <v>BK-CDN</v>
      </c>
      <c r="D49" s="178" t="s">
        <v>900</v>
      </c>
      <c r="E49" s="179" t="s">
        <v>3</v>
      </c>
      <c r="F49" s="180">
        <v>45719</v>
      </c>
      <c r="G49" s="1096">
        <f t="shared" si="14"/>
        <v>6.8900143061516452</v>
      </c>
      <c r="H49" s="182">
        <v>699</v>
      </c>
      <c r="I49" s="183"/>
      <c r="J49" s="184">
        <f>-695-1376-2064-681.12</f>
        <v>-4816.12</v>
      </c>
      <c r="K49" s="1095">
        <f t="shared" si="28"/>
        <v>-5550.3899999999985</v>
      </c>
      <c r="L49" s="1100" t="str" cm="1">
        <f t="array" ref="L49">IFERROR(INDEX(M_TRX_TYPE[#Data], U49, MATCH($C$5,M_TRX_TYPE[#Headers], 0)), "")</f>
        <v>1131 Broker CDN Securities</v>
      </c>
      <c r="M49" s="1102" t="str">
        <f t="shared" si="15"/>
        <v>BLN</v>
      </c>
      <c r="N49" s="1103">
        <f>IF((O49="H"),(MAX($N$8:N48)+1),0)</f>
        <v>0</v>
      </c>
      <c r="O49" s="1204" t="str">
        <f t="shared" si="16"/>
        <v/>
      </c>
      <c r="P49" s="1105" cm="1">
        <f t="array" ref="P49">MAX(IF($D$10:$D$84=D49, $S$10:$S$84))</f>
        <v>2</v>
      </c>
      <c r="Q49" s="1106">
        <f>IF((E49="B"),(MAX($Q$6:Q48)+1),0)</f>
        <v>12</v>
      </c>
      <c r="R49" s="1106">
        <f>IF((AG49&lt;0),(MAX($R$8:$R48)+1),0)</f>
        <v>0</v>
      </c>
      <c r="S49" s="1086">
        <f>IF((M49=""),0,COUNTIF($M$8:M49,M49))</f>
        <v>1</v>
      </c>
      <c r="T49" s="1086">
        <f>IFERROR(MATCH(M49,M_SYMBOL[SYMBOL],0),"")</f>
        <v>43</v>
      </c>
      <c r="U49" s="1070">
        <f>IFERROR(MATCH(E49,M_TRX_TYPE[TYPE],0),"")</f>
        <v>3</v>
      </c>
      <c r="V49" s="1107">
        <f t="shared" si="17"/>
        <v>0</v>
      </c>
      <c r="W49" s="1095">
        <f t="shared" si="18"/>
        <v>0</v>
      </c>
      <c r="X49" s="1108">
        <f t="shared" si="19"/>
        <v>4816.12</v>
      </c>
      <c r="Y49" s="1109">
        <f>IF(S49=1,0,IF(M49="",0,IF(S49&gt;1,(SUMIF($M$8:Z48,M49,$Z$8:Z48))+(SUMIF($M$8:Z48,M49,$AA$8:AA48)),0)))</f>
        <v>0</v>
      </c>
      <c r="Z49" s="1110">
        <f t="shared" si="20"/>
        <v>699</v>
      </c>
      <c r="AA49" s="1111">
        <f t="shared" si="21"/>
        <v>0</v>
      </c>
      <c r="AB49" s="1112">
        <f>DE_BKCDN[[#This Row],[PREVIOUS
UNITS]]+DE_BKCDN[[#This Row],[SHARES
BOUGHT]]+DE_BKCDN[[#This Row],[SHARES 
SOLD]]</f>
        <v>699</v>
      </c>
      <c r="AC49" s="1113">
        <f>IF(S49=1,0,IF(M49="",0,IF(S49&gt;1,SUMIF($M$8:AE48,M49,$AE$8:AE48)+SUMIF($M$8:AE48,M49,$AD$8:AD48),0)))</f>
        <v>0</v>
      </c>
      <c r="AD49" s="1114">
        <f t="shared" si="22"/>
        <v>4816.12</v>
      </c>
      <c r="AE49" s="1115">
        <f t="shared" si="23"/>
        <v>0</v>
      </c>
      <c r="AF49" s="1116">
        <f t="shared" si="24"/>
        <v>4816.12</v>
      </c>
      <c r="AG49" s="1117">
        <f t="shared" si="25"/>
        <v>0</v>
      </c>
      <c r="AH49" s="1115">
        <f>DE_BKCDN[[#This Row],[PROCEEDS]]-DE_BKCDN[[#This Row],[SOLD]]</f>
        <v>0</v>
      </c>
      <c r="AI49" s="1118">
        <f t="shared" si="29"/>
        <v>45719</v>
      </c>
      <c r="AJ49" s="1119" t="str">
        <f>IF(E49="S", DATEDIF(_xlfn.MAXIFS($F$10:F49, $D$10:D49, D49, $AB$10:AB49, "&gt;0"), F49, "d"), "")</f>
        <v/>
      </c>
      <c r="AK49" s="1118" t="str">
        <f>IF(O49="H",DE_BKCDN[[#This Row],[DATE]],"")</f>
        <v/>
      </c>
      <c r="AL49" s="1120" t="str">
        <f t="shared" si="32"/>
        <v/>
      </c>
      <c r="AM49" s="1121">
        <f t="shared" si="33"/>
        <v>0</v>
      </c>
      <c r="AN49" s="1122">
        <v>0</v>
      </c>
      <c r="AO49" s="1122">
        <f>IFERROR(DE_BKCDN[[#This Row],[MKT]]*DE_BKCDN[[#This Row],[HOLDINGS]],0)</f>
        <v>0</v>
      </c>
      <c r="AP49" s="1123" t="str">
        <f t="shared" si="26"/>
        <v xml:space="preserve"> </v>
      </c>
      <c r="AQ49" s="159" t="s">
        <v>0</v>
      </c>
      <c r="AR49" s="159"/>
    </row>
    <row r="50" spans="1:44" s="179" customFormat="1" ht="15.75" customHeight="1">
      <c r="A50" s="177"/>
      <c r="B50" s="1176">
        <v>143</v>
      </c>
      <c r="C50" s="194" t="str">
        <f t="shared" si="27"/>
        <v>BK-CDN</v>
      </c>
      <c r="D50" s="178" t="s">
        <v>903</v>
      </c>
      <c r="E50" s="179" t="s">
        <v>4</v>
      </c>
      <c r="F50" s="180">
        <v>45720</v>
      </c>
      <c r="G50" s="1096">
        <f t="shared" si="14"/>
        <v>139.62339622641508</v>
      </c>
      <c r="H50" s="182">
        <v>-106</v>
      </c>
      <c r="I50" s="183"/>
      <c r="J50" s="184">
        <f>838.08+13962</f>
        <v>14800.08</v>
      </c>
      <c r="K50" s="1095">
        <f t="shared" si="28"/>
        <v>9249.6900000000023</v>
      </c>
      <c r="L50" s="1100" t="str" cm="1">
        <f t="array" ref="L50">IFERROR(INDEX(M_TRX_TYPE[#Data], U50, MATCH($C$5,M_TRX_TYPE[#Headers], 0)), "")</f>
        <v xml:space="preserve">4023 Sale of CDN Securities </v>
      </c>
      <c r="M50" s="1102" t="str">
        <f t="shared" si="15"/>
        <v>CNR</v>
      </c>
      <c r="N50" s="1103">
        <f>IF((O50="H"),(MAX($N$8:N49)+1),0)</f>
        <v>0</v>
      </c>
      <c r="O50" s="1204" t="str">
        <f t="shared" si="16"/>
        <v/>
      </c>
      <c r="P50" s="1105" cm="1">
        <f t="array" ref="P50">MAX(IF($D$10:$D$84=D50, $S$10:$S$84))</f>
        <v>2</v>
      </c>
      <c r="Q50" s="1106">
        <f>IF((E50="B"),(MAX($Q$6:Q49)+1),0)</f>
        <v>0</v>
      </c>
      <c r="R50" s="1106">
        <f>IF((AG50&lt;0),(MAX($R$8:$R49)+1),0)</f>
        <v>13</v>
      </c>
      <c r="S50" s="1086">
        <f>IF((M50=""),0,COUNTIF($M$8:M50,M50))</f>
        <v>2</v>
      </c>
      <c r="T50" s="1086">
        <f>IFERROR(MATCH(M50,M_SYMBOL[SYMBOL],0),"")</f>
        <v>51</v>
      </c>
      <c r="U50" s="1070">
        <f>IFERROR(MATCH(E50,M_TRX_TYPE[TYPE],0),"")</f>
        <v>4</v>
      </c>
      <c r="V50" s="1107">
        <f t="shared" si="17"/>
        <v>0</v>
      </c>
      <c r="W50" s="1095">
        <f t="shared" si="18"/>
        <v>0</v>
      </c>
      <c r="X50" s="1108">
        <f t="shared" si="19"/>
        <v>-14800.08</v>
      </c>
      <c r="Y50" s="1109">
        <f ca="1">IF(S50=1,0,IF(M50="",0,IF(S50&gt;1,(SUMIF($M$8:Z49,M50,$Z$8:Z49))+(SUMIF($M$8:Z49,M50,$AA$8:AA49)),0)))</f>
        <v>106</v>
      </c>
      <c r="Z50" s="1110">
        <f t="shared" si="20"/>
        <v>0</v>
      </c>
      <c r="AA50" s="1111">
        <f t="shared" si="21"/>
        <v>-106</v>
      </c>
      <c r="AB50" s="1112">
        <f ca="1">DE_BKCDN[[#This Row],[PREVIOUS
UNITS]]+DE_BKCDN[[#This Row],[SHARES
BOUGHT]]+DE_BKCDN[[#This Row],[SHARES 
SOLD]]</f>
        <v>0</v>
      </c>
      <c r="AC50" s="1113">
        <f ca="1">IF(S50=1,0,IF(M50="",0,IF(S50&gt;1,SUMIF($M$8:AE49,M50,$AE$8:AE49)+SUMIF($M$8:AE49,M50,$AD$8:AD49),0)))</f>
        <v>15619.8</v>
      </c>
      <c r="AD50" s="1114">
        <f t="shared" si="22"/>
        <v>0</v>
      </c>
      <c r="AE50" s="1115">
        <f t="shared" ca="1" si="23"/>
        <v>-15619.800000000001</v>
      </c>
      <c r="AF50" s="1116">
        <f t="shared" ca="1" si="24"/>
        <v>0</v>
      </c>
      <c r="AG50" s="1117">
        <f t="shared" si="25"/>
        <v>-14800.08</v>
      </c>
      <c r="AH50" s="1115">
        <f ca="1">DE_BKCDN[[#This Row],[PROCEEDS]]-DE_BKCDN[[#This Row],[SOLD]]</f>
        <v>819.72000000000116</v>
      </c>
      <c r="AI50" s="1118" t="str">
        <f t="shared" ca="1" si="29"/>
        <v/>
      </c>
      <c r="AJ50" s="1119">
        <f ca="1">IF(E50="S", DATEDIF(_xlfn.MAXIFS($F$10:F50, $D$10:D50, D50, $AB$10:AB50, "&gt;0"), F50, "d"), "")</f>
        <v>11</v>
      </c>
      <c r="AK50" s="1118" t="str">
        <f>IF(O50="H",DE_BKCDN[[#This Row],[DATE]],"")</f>
        <v/>
      </c>
      <c r="AL50" s="1120" t="str">
        <f t="shared" si="32"/>
        <v/>
      </c>
      <c r="AM50" s="1121">
        <f t="shared" si="33"/>
        <v>0</v>
      </c>
      <c r="AN50" s="1122">
        <v>0</v>
      </c>
      <c r="AO50" s="1122">
        <f>IFERROR(DE_BKCDN[[#This Row],[MKT]]*DE_BKCDN[[#This Row],[HOLDINGS]],0)</f>
        <v>0</v>
      </c>
      <c r="AP50" s="1123" t="str">
        <f t="shared" si="26"/>
        <v xml:space="preserve"> </v>
      </c>
      <c r="AQ50" s="159" t="s">
        <v>0</v>
      </c>
      <c r="AR50" s="159"/>
    </row>
    <row r="51" spans="1:44" s="179" customFormat="1" ht="15.75" customHeight="1">
      <c r="A51" s="177"/>
      <c r="B51" s="1176">
        <v>144</v>
      </c>
      <c r="C51" s="194" t="str">
        <f t="shared" si="27"/>
        <v>BK-CDN</v>
      </c>
      <c r="D51" s="178" t="s">
        <v>942</v>
      </c>
      <c r="E51" s="179" t="s">
        <v>34</v>
      </c>
      <c r="F51" s="180">
        <v>45733</v>
      </c>
      <c r="G51" s="1096" t="str">
        <f t="shared" si="14"/>
        <v xml:space="preserve"> </v>
      </c>
      <c r="H51" s="182"/>
      <c r="I51" s="183"/>
      <c r="J51" s="184">
        <v>19.829999999999998</v>
      </c>
      <c r="K51" s="1095">
        <f t="shared" si="28"/>
        <v>9269.5200000000023</v>
      </c>
      <c r="L51" s="1100" t="str" cm="1">
        <f t="array" ref="L51">IFERROR(INDEX(M_TRX_TYPE[#Data], U51, MATCH($C$5,M_TRX_TYPE[#Headers], 0)), "")</f>
        <v>4460 Dividends Cdn</v>
      </c>
      <c r="M51" s="1102" t="str">
        <f t="shared" si="15"/>
        <v/>
      </c>
      <c r="N51" s="1103">
        <f>IF((O51="H"),(MAX($N$8:N50)+1),0)</f>
        <v>0</v>
      </c>
      <c r="O51" s="1204" t="str">
        <f t="shared" si="16"/>
        <v/>
      </c>
      <c r="P51" s="1105" cm="1">
        <f t="array" ref="P51">MAX(IF($D$10:$D$84=D51, $S$10:$S$84))</f>
        <v>2</v>
      </c>
      <c r="Q51" s="1106">
        <f>IF((E51="B"),(MAX($Q$6:Q50)+1),0)</f>
        <v>0</v>
      </c>
      <c r="R51" s="1106">
        <f>IF((AG51&lt;0),(MAX($R$8:$R50)+1),0)</f>
        <v>0</v>
      </c>
      <c r="S51" s="1086">
        <f>IF((M51=""),0,COUNTIF($M$8:M51,M51))</f>
        <v>0</v>
      </c>
      <c r="T51" s="1086" t="str">
        <f>IFERROR(MATCH(M51,M_SYMBOL[SYMBOL],0),"")</f>
        <v/>
      </c>
      <c r="U51" s="1070">
        <f>IFERROR(MATCH(E51,M_TRX_TYPE[TYPE],0),"")</f>
        <v>7</v>
      </c>
      <c r="V51" s="1107">
        <f t="shared" si="17"/>
        <v>0</v>
      </c>
      <c r="W51" s="1095">
        <f t="shared" si="18"/>
        <v>0</v>
      </c>
      <c r="X51" s="1108">
        <f t="shared" si="19"/>
        <v>-19.829999999999998</v>
      </c>
      <c r="Y51" s="1109">
        <f>IF(S51=1,0,IF(M51="",0,IF(S51&gt;1,(SUMIF($M$8:Z50,M51,$Z$8:Z50))+(SUMIF($M$8:Z50,M51,$AA$8:AA50)),0)))</f>
        <v>0</v>
      </c>
      <c r="Z51" s="1110">
        <f t="shared" si="20"/>
        <v>0</v>
      </c>
      <c r="AA51" s="1111">
        <f t="shared" si="21"/>
        <v>0</v>
      </c>
      <c r="AB51" s="1112">
        <f>DE_BKCDN[[#This Row],[PREVIOUS
UNITS]]+DE_BKCDN[[#This Row],[SHARES
BOUGHT]]+DE_BKCDN[[#This Row],[SHARES 
SOLD]]</f>
        <v>0</v>
      </c>
      <c r="AC51" s="1113">
        <f>IF(S51=1,0,IF(M51="",0,IF(S51&gt;1,SUMIF($M$8:AE50,M51,$AE$8:AE50)+SUMIF($M$8:AE50,M51,$AD$8:AD50),0)))</f>
        <v>0</v>
      </c>
      <c r="AD51" s="1114">
        <f t="shared" si="22"/>
        <v>0</v>
      </c>
      <c r="AE51" s="1115">
        <f t="shared" si="23"/>
        <v>0</v>
      </c>
      <c r="AF51" s="1116">
        <f t="shared" si="24"/>
        <v>0</v>
      </c>
      <c r="AG51" s="1117">
        <f t="shared" si="25"/>
        <v>0</v>
      </c>
      <c r="AH51" s="1115">
        <f>DE_BKCDN[[#This Row],[PROCEEDS]]-DE_BKCDN[[#This Row],[SOLD]]</f>
        <v>0</v>
      </c>
      <c r="AI51" s="1118" t="str">
        <f t="shared" si="29"/>
        <v/>
      </c>
      <c r="AJ51" s="1119" t="str">
        <f>IF(E51="S", DATEDIF(_xlfn.MAXIFS($F$10:F51, $D$10:D51, D51, $AB$10:AB51, "&gt;0"), F51, "d"), "")</f>
        <v/>
      </c>
      <c r="AK51" s="1118" t="str">
        <f>IF(O51="H",DE_BKCDN[[#This Row],[DATE]],"")</f>
        <v/>
      </c>
      <c r="AL51" s="1120" t="str">
        <f t="shared" si="32"/>
        <v/>
      </c>
      <c r="AM51" s="1121">
        <f t="shared" si="33"/>
        <v>0</v>
      </c>
      <c r="AN51" s="1122">
        <v>0</v>
      </c>
      <c r="AO51" s="1122">
        <f>IFERROR(DE_BKCDN[[#This Row],[MKT]]*DE_BKCDN[[#This Row],[HOLDINGS]],0)</f>
        <v>0</v>
      </c>
      <c r="AP51" s="1123">
        <f t="shared" si="26"/>
        <v>19.829999999999998</v>
      </c>
      <c r="AQ51" s="159" t="s">
        <v>0</v>
      </c>
      <c r="AR51" s="159"/>
    </row>
    <row r="52" spans="1:44" s="179" customFormat="1" ht="15.75" customHeight="1">
      <c r="A52" s="177"/>
      <c r="B52" s="1176">
        <v>145</v>
      </c>
      <c r="C52" s="194" t="str">
        <f t="shared" si="27"/>
        <v>BK-CDN</v>
      </c>
      <c r="D52" s="178" t="s">
        <v>942</v>
      </c>
      <c r="E52" s="179" t="s">
        <v>34</v>
      </c>
      <c r="F52" s="180">
        <v>45733</v>
      </c>
      <c r="G52" s="1096" t="str">
        <f t="shared" si="14"/>
        <v xml:space="preserve"> </v>
      </c>
      <c r="H52" s="182"/>
      <c r="I52" s="183"/>
      <c r="J52" s="184">
        <v>-2.97</v>
      </c>
      <c r="K52" s="1095">
        <f t="shared" si="28"/>
        <v>9266.5500000000029</v>
      </c>
      <c r="L52" s="1100" t="str" cm="1">
        <f t="array" ref="L52">IFERROR(INDEX(M_TRX_TYPE[#Data], U52, MATCH($C$5,M_TRX_TYPE[#Headers], 0)), "")</f>
        <v>4460 Dividends Cdn</v>
      </c>
      <c r="M52" s="1102" t="str">
        <f t="shared" si="15"/>
        <v/>
      </c>
      <c r="N52" s="1103">
        <f>IF((O52="H"),(MAX($N$8:N51)+1),0)</f>
        <v>0</v>
      </c>
      <c r="O52" s="1204" t="str">
        <f t="shared" si="16"/>
        <v/>
      </c>
      <c r="P52" s="1105" cm="1">
        <f t="array" ref="P52">MAX(IF($D$10:$D$84=D52, $S$10:$S$84))</f>
        <v>2</v>
      </c>
      <c r="Q52" s="1106">
        <f>IF((E52="B"),(MAX($Q$6:Q51)+1),0)</f>
        <v>0</v>
      </c>
      <c r="R52" s="1106">
        <f>IF((AG52&lt;0),(MAX($R$8:$R51)+1),0)</f>
        <v>0</v>
      </c>
      <c r="S52" s="1086">
        <f>IF((M52=""),0,COUNTIF($M$8:M52,M52))</f>
        <v>0</v>
      </c>
      <c r="T52" s="1086" t="str">
        <f>IFERROR(MATCH(M52,M_SYMBOL[SYMBOL],0),"")</f>
        <v/>
      </c>
      <c r="U52" s="1070">
        <f>IFERROR(MATCH(E52,M_TRX_TYPE[TYPE],0),"")</f>
        <v>7</v>
      </c>
      <c r="V52" s="1107">
        <f t="shared" si="17"/>
        <v>0</v>
      </c>
      <c r="W52" s="1095">
        <f t="shared" si="18"/>
        <v>0</v>
      </c>
      <c r="X52" s="1108">
        <f t="shared" si="19"/>
        <v>2.97</v>
      </c>
      <c r="Y52" s="1109">
        <f>IF(S52=1,0,IF(M52="",0,IF(S52&gt;1,(SUMIF($M$8:Z51,M52,$Z$8:Z51))+(SUMIF($M$8:Z51,M52,$AA$8:AA51)),0)))</f>
        <v>0</v>
      </c>
      <c r="Z52" s="1110">
        <f t="shared" si="20"/>
        <v>0</v>
      </c>
      <c r="AA52" s="1111">
        <f t="shared" si="21"/>
        <v>0</v>
      </c>
      <c r="AB52" s="1112">
        <f>DE_BKCDN[[#This Row],[PREVIOUS
UNITS]]+DE_BKCDN[[#This Row],[SHARES
BOUGHT]]+DE_BKCDN[[#This Row],[SHARES 
SOLD]]</f>
        <v>0</v>
      </c>
      <c r="AC52" s="1113">
        <f>IF(S52=1,0,IF(M52="",0,IF(S52&gt;1,SUMIF($M$8:AE51,M52,$AE$8:AE51)+SUMIF($M$8:AE51,M52,$AD$8:AD51),0)))</f>
        <v>0</v>
      </c>
      <c r="AD52" s="1114">
        <f t="shared" si="22"/>
        <v>0</v>
      </c>
      <c r="AE52" s="1115">
        <f t="shared" si="23"/>
        <v>0</v>
      </c>
      <c r="AF52" s="1116">
        <f t="shared" si="24"/>
        <v>0</v>
      </c>
      <c r="AG52" s="1117">
        <f t="shared" si="25"/>
        <v>0</v>
      </c>
      <c r="AH52" s="1115">
        <f>DE_BKCDN[[#This Row],[PROCEEDS]]-DE_BKCDN[[#This Row],[SOLD]]</f>
        <v>0</v>
      </c>
      <c r="AI52" s="1118" t="str">
        <f t="shared" si="29"/>
        <v/>
      </c>
      <c r="AJ52" s="1119" t="str">
        <f>IF(E52="S", DATEDIF(_xlfn.MAXIFS($F$10:F52, $D$10:D52, D52, $AB$10:AB52, "&gt;0"), F52, "d"), "")</f>
        <v/>
      </c>
      <c r="AK52" s="1118" t="str">
        <f>IF(O52="H",DE_BKCDN[[#This Row],[DATE]],"")</f>
        <v/>
      </c>
      <c r="AL52" s="1120" t="str">
        <f t="shared" si="32"/>
        <v/>
      </c>
      <c r="AM52" s="1121">
        <f t="shared" si="33"/>
        <v>0</v>
      </c>
      <c r="AN52" s="1122">
        <v>0</v>
      </c>
      <c r="AO52" s="1122">
        <f>IFERROR(DE_BKCDN[[#This Row],[MKT]]*DE_BKCDN[[#This Row],[HOLDINGS]],0)</f>
        <v>0</v>
      </c>
      <c r="AP52" s="1123">
        <f t="shared" si="26"/>
        <v>-2.97</v>
      </c>
      <c r="AQ52" s="159" t="s">
        <v>0</v>
      </c>
      <c r="AR52" s="159"/>
    </row>
    <row r="53" spans="1:44" s="179" customFormat="1" ht="15.75" customHeight="1">
      <c r="A53" s="177"/>
      <c r="B53" s="1176">
        <v>146</v>
      </c>
      <c r="C53" s="194" t="str">
        <f t="shared" si="27"/>
        <v>BK-CDN</v>
      </c>
      <c r="D53" s="178" t="s">
        <v>955</v>
      </c>
      <c r="E53" s="179" t="s">
        <v>34</v>
      </c>
      <c r="F53" s="180">
        <v>45733</v>
      </c>
      <c r="G53" s="1096" t="str">
        <f t="shared" si="14"/>
        <v xml:space="preserve"> </v>
      </c>
      <c r="H53" s="182"/>
      <c r="I53" s="183"/>
      <c r="J53" s="184">
        <v>14</v>
      </c>
      <c r="K53" s="1095">
        <f t="shared" si="28"/>
        <v>9280.5500000000029</v>
      </c>
      <c r="L53" s="1100" t="str" cm="1">
        <f t="array" ref="L53">IFERROR(INDEX(M_TRX_TYPE[#Data], U53, MATCH($C$5,M_TRX_TYPE[#Headers], 0)), "")</f>
        <v>4460 Dividends Cdn</v>
      </c>
      <c r="M53" s="1102" t="str">
        <f t="shared" si="15"/>
        <v/>
      </c>
      <c r="N53" s="1103">
        <f>IF((O53="H"),(MAX($N$8:N52)+1),0)</f>
        <v>0</v>
      </c>
      <c r="O53" s="1204" t="str">
        <f t="shared" si="16"/>
        <v/>
      </c>
      <c r="P53" s="1105" cm="1">
        <f t="array" ref="P53">MAX(IF($D$10:$D$84=D53, $S$10:$S$84))</f>
        <v>1</v>
      </c>
      <c r="Q53" s="1106">
        <f>IF((E53="B"),(MAX($Q$6:Q52)+1),0)</f>
        <v>0</v>
      </c>
      <c r="R53" s="1106">
        <f>IF((AG53&lt;0),(MAX($R$8:$R52)+1),0)</f>
        <v>0</v>
      </c>
      <c r="S53" s="1086">
        <f>IF((M53=""),0,COUNTIF($M$8:M53,M53))</f>
        <v>0</v>
      </c>
      <c r="T53" s="1086" t="str">
        <f>IFERROR(MATCH(M53,M_SYMBOL[SYMBOL],0),"")</f>
        <v/>
      </c>
      <c r="U53" s="1070">
        <f>IFERROR(MATCH(E53,M_TRX_TYPE[TYPE],0),"")</f>
        <v>7</v>
      </c>
      <c r="V53" s="1107">
        <f t="shared" si="17"/>
        <v>0</v>
      </c>
      <c r="W53" s="1095">
        <f t="shared" si="18"/>
        <v>0</v>
      </c>
      <c r="X53" s="1108">
        <f t="shared" si="19"/>
        <v>-14</v>
      </c>
      <c r="Y53" s="1109">
        <f>IF(S53=1,0,IF(M53="",0,IF(S53&gt;1,(SUMIF($M$8:Z52,M53,$Z$8:Z52))+(SUMIF($M$8:Z52,M53,$AA$8:AA52)),0)))</f>
        <v>0</v>
      </c>
      <c r="Z53" s="1110">
        <f t="shared" si="20"/>
        <v>0</v>
      </c>
      <c r="AA53" s="1111">
        <f t="shared" si="21"/>
        <v>0</v>
      </c>
      <c r="AB53" s="1112">
        <f>DE_BKCDN[[#This Row],[PREVIOUS
UNITS]]+DE_BKCDN[[#This Row],[SHARES
BOUGHT]]+DE_BKCDN[[#This Row],[SHARES 
SOLD]]</f>
        <v>0</v>
      </c>
      <c r="AC53" s="1113">
        <f>IF(S53=1,0,IF(M53="",0,IF(S53&gt;1,SUMIF($M$8:AE52,M53,$AE$8:AE52)+SUMIF($M$8:AE52,M53,$AD$8:AD52),0)))</f>
        <v>0</v>
      </c>
      <c r="AD53" s="1114">
        <f t="shared" si="22"/>
        <v>0</v>
      </c>
      <c r="AE53" s="1115">
        <f t="shared" si="23"/>
        <v>0</v>
      </c>
      <c r="AF53" s="1116">
        <f t="shared" si="24"/>
        <v>0</v>
      </c>
      <c r="AG53" s="1117">
        <f t="shared" si="25"/>
        <v>0</v>
      </c>
      <c r="AH53" s="1115">
        <f>DE_BKCDN[[#This Row],[PROCEEDS]]-DE_BKCDN[[#This Row],[SOLD]]</f>
        <v>0</v>
      </c>
      <c r="AI53" s="1118" t="str">
        <f t="shared" si="29"/>
        <v/>
      </c>
      <c r="AJ53" s="1119" t="str">
        <f>IF(E53="S", DATEDIF(_xlfn.MAXIFS($F$10:F53, $D$10:D53, D53, $AB$10:AB53, "&gt;0"), F53, "d"), "")</f>
        <v/>
      </c>
      <c r="AK53" s="1118" t="str">
        <f>IF(O53="H",DE_BKCDN[[#This Row],[DATE]],"")</f>
        <v/>
      </c>
      <c r="AL53" s="1120" t="str">
        <f t="shared" si="32"/>
        <v/>
      </c>
      <c r="AM53" s="1121">
        <f t="shared" si="33"/>
        <v>0</v>
      </c>
      <c r="AN53" s="1122">
        <v>0</v>
      </c>
      <c r="AO53" s="1122">
        <f>IFERROR(DE_BKCDN[[#This Row],[MKT]]*DE_BKCDN[[#This Row],[HOLDINGS]],0)</f>
        <v>0</v>
      </c>
      <c r="AP53" s="1123">
        <f t="shared" si="26"/>
        <v>14</v>
      </c>
      <c r="AQ53" s="159" t="s">
        <v>0</v>
      </c>
      <c r="AR53" s="159"/>
    </row>
    <row r="54" spans="1:44" s="179" customFormat="1" ht="15.75" customHeight="1">
      <c r="A54" s="177"/>
      <c r="B54" s="1176">
        <v>147</v>
      </c>
      <c r="C54" s="194" t="str">
        <f t="shared" si="27"/>
        <v>BK-CDN</v>
      </c>
      <c r="D54" s="178" t="s">
        <v>955</v>
      </c>
      <c r="E54" s="179" t="s">
        <v>34</v>
      </c>
      <c r="F54" s="180">
        <v>45730</v>
      </c>
      <c r="G54" s="1096" t="str">
        <f t="shared" si="14"/>
        <v xml:space="preserve"> </v>
      </c>
      <c r="H54" s="182"/>
      <c r="I54" s="183"/>
      <c r="J54" s="184">
        <v>14</v>
      </c>
      <c r="K54" s="1095">
        <f t="shared" si="28"/>
        <v>9294.5500000000029</v>
      </c>
      <c r="L54" s="1100" t="str" cm="1">
        <f t="array" ref="L54">IFERROR(INDEX(M_TRX_TYPE[#Data], U54, MATCH($C$5,M_TRX_TYPE[#Headers], 0)), "")</f>
        <v>4460 Dividends Cdn</v>
      </c>
      <c r="M54" s="1102" t="str">
        <f t="shared" si="15"/>
        <v/>
      </c>
      <c r="N54" s="1103">
        <f>IF((O54="H"),(MAX($N$8:N53)+1),0)</f>
        <v>0</v>
      </c>
      <c r="O54" s="1204" t="str">
        <f t="shared" si="16"/>
        <v/>
      </c>
      <c r="P54" s="1105" cm="1">
        <f t="array" ref="P54">MAX(IF($D$10:$D$84=D54, $S$10:$S$84))</f>
        <v>1</v>
      </c>
      <c r="Q54" s="1106">
        <f>IF((E54="B"),(MAX($Q$6:Q53)+1),0)</f>
        <v>0</v>
      </c>
      <c r="R54" s="1106">
        <f>IF((AG54&lt;0),(MAX($R$8:$R53)+1),0)</f>
        <v>0</v>
      </c>
      <c r="S54" s="1086">
        <f>IF((M54=""),0,COUNTIF($M$8:M54,M54))</f>
        <v>0</v>
      </c>
      <c r="T54" s="1086" t="str">
        <f>IFERROR(MATCH(M54,M_SYMBOL[SYMBOL],0),"")</f>
        <v/>
      </c>
      <c r="U54" s="1070">
        <f>IFERROR(MATCH(E54,M_TRX_TYPE[TYPE],0),"")</f>
        <v>7</v>
      </c>
      <c r="V54" s="1107">
        <f t="shared" si="17"/>
        <v>0</v>
      </c>
      <c r="W54" s="1095">
        <f t="shared" si="18"/>
        <v>0</v>
      </c>
      <c r="X54" s="1108">
        <f t="shared" si="19"/>
        <v>-14</v>
      </c>
      <c r="Y54" s="1109">
        <f>IF(S54=1,0,IF(M54="",0,IF(S54&gt;1,(SUMIF($M$8:Z53,M54,$Z$8:Z53))+(SUMIF($M$8:Z53,M54,$AA$8:AA53)),0)))</f>
        <v>0</v>
      </c>
      <c r="Z54" s="1110">
        <f t="shared" si="20"/>
        <v>0</v>
      </c>
      <c r="AA54" s="1111">
        <f t="shared" si="21"/>
        <v>0</v>
      </c>
      <c r="AB54" s="1112">
        <f>DE_BKCDN[[#This Row],[PREVIOUS
UNITS]]+DE_BKCDN[[#This Row],[SHARES
BOUGHT]]+DE_BKCDN[[#This Row],[SHARES 
SOLD]]</f>
        <v>0</v>
      </c>
      <c r="AC54" s="1113">
        <f>IF(S54=1,0,IF(M54="",0,IF(S54&gt;1,SUMIF($M$8:AE53,M54,$AE$8:AE53)+SUMIF($M$8:AE53,M54,$AD$8:AD53),0)))</f>
        <v>0</v>
      </c>
      <c r="AD54" s="1114">
        <f t="shared" si="22"/>
        <v>0</v>
      </c>
      <c r="AE54" s="1115">
        <f t="shared" si="23"/>
        <v>0</v>
      </c>
      <c r="AF54" s="1116">
        <f t="shared" si="24"/>
        <v>0</v>
      </c>
      <c r="AG54" s="1117">
        <f t="shared" si="25"/>
        <v>0</v>
      </c>
      <c r="AH54" s="1115">
        <f>DE_BKCDN[[#This Row],[PROCEEDS]]-DE_BKCDN[[#This Row],[SOLD]]</f>
        <v>0</v>
      </c>
      <c r="AI54" s="1118" t="str">
        <f t="shared" si="29"/>
        <v/>
      </c>
      <c r="AJ54" s="1119" t="str">
        <f>IF(E54="S", DATEDIF(_xlfn.MAXIFS($F$10:F54, $D$10:D54, D54, $AB$10:AB54, "&gt;0"), F54, "d"), "")</f>
        <v/>
      </c>
      <c r="AK54" s="1118" t="str">
        <f>IF(O54="H",DE_BKCDN[[#This Row],[DATE]],"")</f>
        <v/>
      </c>
      <c r="AL54" s="1120" t="str">
        <f t="shared" si="32"/>
        <v/>
      </c>
      <c r="AM54" s="1121">
        <f t="shared" si="33"/>
        <v>0</v>
      </c>
      <c r="AN54" s="1122">
        <v>0</v>
      </c>
      <c r="AO54" s="1122">
        <f>IFERROR(DE_BKCDN[[#This Row],[MKT]]*DE_BKCDN[[#This Row],[HOLDINGS]],0)</f>
        <v>0</v>
      </c>
      <c r="AP54" s="1123">
        <f t="shared" si="26"/>
        <v>14</v>
      </c>
      <c r="AQ54" s="159" t="s">
        <v>0</v>
      </c>
      <c r="AR54" s="159"/>
    </row>
    <row r="55" spans="1:44" s="179" customFormat="1" ht="15.75" customHeight="1">
      <c r="A55" s="177"/>
      <c r="B55" s="1176">
        <v>148</v>
      </c>
      <c r="C55" s="194" t="str">
        <f t="shared" si="27"/>
        <v>BK-CDN</v>
      </c>
      <c r="D55" s="178" t="s">
        <v>893</v>
      </c>
      <c r="E55" s="179" t="s">
        <v>34</v>
      </c>
      <c r="F55" s="180">
        <v>45768</v>
      </c>
      <c r="G55" s="1096" t="str">
        <f t="shared" si="14"/>
        <v xml:space="preserve"> </v>
      </c>
      <c r="H55" s="182"/>
      <c r="I55" s="183"/>
      <c r="J55" s="184">
        <v>6.15</v>
      </c>
      <c r="K55" s="1095">
        <f t="shared" si="28"/>
        <v>9300.7000000000025</v>
      </c>
      <c r="L55" s="1100" t="str" cm="1">
        <f t="array" ref="L55">IFERROR(INDEX(M_TRX_TYPE[#Data], U55, MATCH($C$5,M_TRX_TYPE[#Headers], 0)), "")</f>
        <v>4460 Dividends Cdn</v>
      </c>
      <c r="M55" s="1102" t="str">
        <f t="shared" si="15"/>
        <v/>
      </c>
      <c r="N55" s="1103">
        <f>IF((O55="H"),(MAX($N$8:N54)+1),0)</f>
        <v>0</v>
      </c>
      <c r="O55" s="1204" t="str">
        <f t="shared" si="16"/>
        <v/>
      </c>
      <c r="P55" s="1105" cm="1">
        <f t="array" ref="P55">MAX(IF($D$10:$D$84=D55, $S$10:$S$84))</f>
        <v>3</v>
      </c>
      <c r="Q55" s="1106">
        <f>IF((E55="B"),(MAX($Q$6:Q54)+1),0)</f>
        <v>0</v>
      </c>
      <c r="R55" s="1106">
        <f>IF((AG55&lt;0),(MAX($R$8:$R54)+1),0)</f>
        <v>0</v>
      </c>
      <c r="S55" s="1086">
        <f>IF((M55=""),0,COUNTIF($M$8:M55,M55))</f>
        <v>0</v>
      </c>
      <c r="T55" s="1086" t="str">
        <f>IFERROR(MATCH(M55,M_SYMBOL[SYMBOL],0),"")</f>
        <v/>
      </c>
      <c r="U55" s="1070">
        <f>IFERROR(MATCH(E55,M_TRX_TYPE[TYPE],0),"")</f>
        <v>7</v>
      </c>
      <c r="V55" s="1107">
        <f t="shared" si="17"/>
        <v>0</v>
      </c>
      <c r="W55" s="1095">
        <f t="shared" si="18"/>
        <v>0</v>
      </c>
      <c r="X55" s="1108">
        <f t="shared" si="19"/>
        <v>-6.15</v>
      </c>
      <c r="Y55" s="1109">
        <f>IF(S55=1,0,IF(M55="",0,IF(S55&gt;1,(SUMIF($M$8:Z54,M55,$Z$8:Z54))+(SUMIF($M$8:Z54,M55,$AA$8:AA54)),0)))</f>
        <v>0</v>
      </c>
      <c r="Z55" s="1110">
        <f t="shared" si="20"/>
        <v>0</v>
      </c>
      <c r="AA55" s="1111">
        <f t="shared" si="21"/>
        <v>0</v>
      </c>
      <c r="AB55" s="1112">
        <f>DE_BKCDN[[#This Row],[PREVIOUS
UNITS]]+DE_BKCDN[[#This Row],[SHARES
BOUGHT]]+DE_BKCDN[[#This Row],[SHARES 
SOLD]]</f>
        <v>0</v>
      </c>
      <c r="AC55" s="1113">
        <f>IF(S55=1,0,IF(M55="",0,IF(S55&gt;1,SUMIF($M$8:AE54,M55,$AE$8:AE54)+SUMIF($M$8:AE54,M55,$AD$8:AD54),0)))</f>
        <v>0</v>
      </c>
      <c r="AD55" s="1114">
        <f t="shared" si="22"/>
        <v>0</v>
      </c>
      <c r="AE55" s="1115">
        <f t="shared" si="23"/>
        <v>0</v>
      </c>
      <c r="AF55" s="1116">
        <f t="shared" si="24"/>
        <v>0</v>
      </c>
      <c r="AG55" s="1117">
        <f t="shared" si="25"/>
        <v>0</v>
      </c>
      <c r="AH55" s="1115">
        <f>DE_BKCDN[[#This Row],[PROCEEDS]]-DE_BKCDN[[#This Row],[SOLD]]</f>
        <v>0</v>
      </c>
      <c r="AI55" s="1118" t="str">
        <f t="shared" si="29"/>
        <v/>
      </c>
      <c r="AJ55" s="1119" t="str">
        <f>IF(E55="S", DATEDIF(_xlfn.MAXIFS($F$10:F55, $D$10:D55, D55, $AB$10:AB55, "&gt;0"), F55, "d"), "")</f>
        <v/>
      </c>
      <c r="AK55" s="1118" t="str">
        <f>IF(O55="H",DE_BKCDN[[#This Row],[DATE]],"")</f>
        <v/>
      </c>
      <c r="AL55" s="1120" t="str">
        <f t="shared" si="32"/>
        <v/>
      </c>
      <c r="AM55" s="1121">
        <f t="shared" si="33"/>
        <v>0</v>
      </c>
      <c r="AN55" s="1122">
        <v>0</v>
      </c>
      <c r="AO55" s="1122">
        <f>IFERROR(DE_BKCDN[[#This Row],[MKT]]*DE_BKCDN[[#This Row],[HOLDINGS]],0)</f>
        <v>0</v>
      </c>
      <c r="AP55" s="1123">
        <f t="shared" si="26"/>
        <v>6.15</v>
      </c>
      <c r="AQ55" s="159" t="s">
        <v>0</v>
      </c>
      <c r="AR55" s="159"/>
    </row>
    <row r="56" spans="1:44" s="179" customFormat="1" ht="15.75" customHeight="1">
      <c r="A56" s="177"/>
      <c r="B56" s="1176">
        <v>149</v>
      </c>
      <c r="C56" s="194" t="str">
        <f t="shared" si="27"/>
        <v>BK-CDN</v>
      </c>
      <c r="D56" s="178" t="s">
        <v>893</v>
      </c>
      <c r="E56" s="179" t="s">
        <v>3</v>
      </c>
      <c r="F56" s="180">
        <v>45768</v>
      </c>
      <c r="G56" s="1096">
        <f t="shared" si="14"/>
        <v>4.45</v>
      </c>
      <c r="H56" s="182">
        <v>1</v>
      </c>
      <c r="I56" s="183"/>
      <c r="J56" s="184">
        <v>-4.45</v>
      </c>
      <c r="K56" s="1095">
        <f t="shared" si="28"/>
        <v>9296.2500000000018</v>
      </c>
      <c r="L56" s="1100" t="str" cm="1">
        <f t="array" ref="L56">IFERROR(INDEX(M_TRX_TYPE[#Data], U56, MATCH($C$5,M_TRX_TYPE[#Headers], 0)), "")</f>
        <v>1131 Broker CDN Securities</v>
      </c>
      <c r="M56" s="1102" t="str">
        <f t="shared" si="15"/>
        <v>ADW.A</v>
      </c>
      <c r="N56" s="1103">
        <f>IF((O56="H"),(MAX($N$8:N55)+1),0)</f>
        <v>0</v>
      </c>
      <c r="O56" s="1204" t="str">
        <f t="shared" si="16"/>
        <v/>
      </c>
      <c r="P56" s="1105" cm="1">
        <f t="array" ref="P56">MAX(IF($D$10:$D$84=D56, $S$10:$S$84))</f>
        <v>3</v>
      </c>
      <c r="Q56" s="1106">
        <f>IF((E56="B"),(MAX($Q$6:Q55)+1),0)</f>
        <v>13</v>
      </c>
      <c r="R56" s="1106">
        <f>IF((AG56&lt;0),(MAX($R$8:$R55)+1),0)</f>
        <v>0</v>
      </c>
      <c r="S56" s="1086">
        <f>IF((M56=""),0,COUNTIF($M$8:M56,M56))</f>
        <v>2</v>
      </c>
      <c r="T56" s="1086">
        <f>IFERROR(MATCH(M56,M_SYMBOL[SYMBOL],0),"")</f>
        <v>32</v>
      </c>
      <c r="U56" s="1070">
        <f>IFERROR(MATCH(E56,M_TRX_TYPE[TYPE],0),"")</f>
        <v>3</v>
      </c>
      <c r="V56" s="1107">
        <f t="shared" si="17"/>
        <v>0</v>
      </c>
      <c r="W56" s="1095">
        <f t="shared" si="18"/>
        <v>0</v>
      </c>
      <c r="X56" s="1108">
        <f t="shared" si="19"/>
        <v>4.45</v>
      </c>
      <c r="Y56" s="1109">
        <f ca="1">IF(S56=1,0,IF(M56="",0,IF(S56&gt;1,(SUMIF($M$8:Z55,M56,$Z$8:Z55))+(SUMIF($M$8:Z55,M56,$AA$8:AA55)),0)))</f>
        <v>100</v>
      </c>
      <c r="Z56" s="1110">
        <f t="shared" si="20"/>
        <v>1</v>
      </c>
      <c r="AA56" s="1111">
        <f t="shared" si="21"/>
        <v>0</v>
      </c>
      <c r="AB56" s="1112">
        <f ca="1">DE_BKCDN[[#This Row],[PREVIOUS
UNITS]]+DE_BKCDN[[#This Row],[SHARES
BOUGHT]]+DE_BKCDN[[#This Row],[SHARES 
SOLD]]</f>
        <v>101</v>
      </c>
      <c r="AC56" s="1113">
        <f ca="1">IF(S56=1,0,IF(M56="",0,IF(S56&gt;1,SUMIF($M$8:AE55,M56,$AE$8:AE55)+SUMIF($M$8:AE55,M56,$AD$8:AD55),0)))</f>
        <v>489</v>
      </c>
      <c r="AD56" s="1114">
        <f t="shared" si="22"/>
        <v>4.45</v>
      </c>
      <c r="AE56" s="1115">
        <f t="shared" si="23"/>
        <v>0</v>
      </c>
      <c r="AF56" s="1116">
        <f t="shared" ca="1" si="24"/>
        <v>493.45</v>
      </c>
      <c r="AG56" s="1117">
        <f t="shared" si="25"/>
        <v>0</v>
      </c>
      <c r="AH56" s="1115">
        <f>DE_BKCDN[[#This Row],[PROCEEDS]]-DE_BKCDN[[#This Row],[SOLD]]</f>
        <v>0</v>
      </c>
      <c r="AI56" s="1118" t="str">
        <f t="shared" ca="1" si="29"/>
        <v/>
      </c>
      <c r="AJ56" s="1119" t="str">
        <f>IF(E56="S", DATEDIF(_xlfn.MAXIFS($F$10:F56, $D$10:D56, D56, $AB$10:AB56, "&gt;0"), F56, "d"), "")</f>
        <v/>
      </c>
      <c r="AK56" s="1118" t="str">
        <f>IF(O56="H",DE_BKCDN[[#This Row],[DATE]],"")</f>
        <v/>
      </c>
      <c r="AL56" s="1120" t="str">
        <f t="shared" si="32"/>
        <v/>
      </c>
      <c r="AM56" s="1121">
        <f t="shared" si="33"/>
        <v>0</v>
      </c>
      <c r="AN56" s="1122">
        <v>0</v>
      </c>
      <c r="AO56" s="1122">
        <f>IFERROR(DE_BKCDN[[#This Row],[MKT]]*DE_BKCDN[[#This Row],[HOLDINGS]],0)</f>
        <v>0</v>
      </c>
      <c r="AP56" s="1123" t="str">
        <f t="shared" si="26"/>
        <v xml:space="preserve"> </v>
      </c>
      <c r="AQ56" s="159" t="s">
        <v>0</v>
      </c>
      <c r="AR56" s="159"/>
    </row>
    <row r="57" spans="1:44" s="179" customFormat="1" ht="15.75" customHeight="1">
      <c r="A57" s="177"/>
      <c r="B57" s="1176">
        <v>150</v>
      </c>
      <c r="C57" s="194" t="str">
        <f t="shared" si="27"/>
        <v>BK-CDN</v>
      </c>
      <c r="D57" s="178" t="s">
        <v>955</v>
      </c>
      <c r="E57" s="179" t="s">
        <v>34</v>
      </c>
      <c r="F57" s="180">
        <v>45784</v>
      </c>
      <c r="G57" s="1096" t="str">
        <f t="shared" si="14"/>
        <v xml:space="preserve"> </v>
      </c>
      <c r="H57" s="182"/>
      <c r="I57" s="183"/>
      <c r="J57" s="184">
        <v>16.899999999999999</v>
      </c>
      <c r="K57" s="1095">
        <f t="shared" si="28"/>
        <v>9313.1500000000015</v>
      </c>
      <c r="L57" s="1100" t="str" cm="1">
        <f t="array" ref="L57">IFERROR(INDEX(M_TRX_TYPE[#Data], U57, MATCH($C$5,M_TRX_TYPE[#Headers], 0)), "")</f>
        <v>4460 Dividends Cdn</v>
      </c>
      <c r="M57" s="1102" t="str">
        <f t="shared" si="15"/>
        <v/>
      </c>
      <c r="N57" s="1103">
        <f>IF((O57="H"),(MAX($N$8:N56)+1),0)</f>
        <v>0</v>
      </c>
      <c r="O57" s="1204" t="str">
        <f t="shared" si="16"/>
        <v/>
      </c>
      <c r="P57" s="1105" cm="1">
        <f t="array" ref="P57">MAX(IF($D$10:$D$84=D57, $S$10:$S$84))</f>
        <v>1</v>
      </c>
      <c r="Q57" s="1106">
        <f>IF((E57="B"),(MAX($Q$6:Q56)+1),0)</f>
        <v>0</v>
      </c>
      <c r="R57" s="1106">
        <f>IF((AG57&lt;0),(MAX($R$8:$R56)+1),0)</f>
        <v>0</v>
      </c>
      <c r="S57" s="1086">
        <f>IF((M57=""),0,COUNTIF($M$8:M57,M57))</f>
        <v>0</v>
      </c>
      <c r="T57" s="1086" t="str">
        <f>IFERROR(MATCH(M57,M_SYMBOL[SYMBOL],0),"")</f>
        <v/>
      </c>
      <c r="U57" s="1070">
        <f>IFERROR(MATCH(E57,M_TRX_TYPE[TYPE],0),"")</f>
        <v>7</v>
      </c>
      <c r="V57" s="1107">
        <f t="shared" si="17"/>
        <v>0</v>
      </c>
      <c r="W57" s="1095">
        <f t="shared" si="18"/>
        <v>0</v>
      </c>
      <c r="X57" s="1108">
        <f t="shared" si="19"/>
        <v>-16.899999999999999</v>
      </c>
      <c r="Y57" s="1109">
        <f>IF(S57=1,0,IF(M57="",0,IF(S57&gt;1,(SUMIF($M$8:Z56,M57,$Z$8:Z56))+(SUMIF($M$8:Z56,M57,$AA$8:AA56)),0)))</f>
        <v>0</v>
      </c>
      <c r="Z57" s="1110">
        <f t="shared" si="20"/>
        <v>0</v>
      </c>
      <c r="AA57" s="1111">
        <f t="shared" si="21"/>
        <v>0</v>
      </c>
      <c r="AB57" s="1112">
        <f>DE_BKCDN[[#This Row],[PREVIOUS
UNITS]]+DE_BKCDN[[#This Row],[SHARES
BOUGHT]]+DE_BKCDN[[#This Row],[SHARES 
SOLD]]</f>
        <v>0</v>
      </c>
      <c r="AC57" s="1113">
        <f>IF(S57=1,0,IF(M57="",0,IF(S57&gt;1,SUMIF($M$8:AE56,M57,$AE$8:AE56)+SUMIF($M$8:AE56,M57,$AD$8:AD56),0)))</f>
        <v>0</v>
      </c>
      <c r="AD57" s="1114">
        <f t="shared" si="22"/>
        <v>0</v>
      </c>
      <c r="AE57" s="1115">
        <f t="shared" si="23"/>
        <v>0</v>
      </c>
      <c r="AF57" s="1116">
        <f t="shared" si="24"/>
        <v>0</v>
      </c>
      <c r="AG57" s="1117">
        <f t="shared" si="25"/>
        <v>0</v>
      </c>
      <c r="AH57" s="1115">
        <f>DE_BKCDN[[#This Row],[PROCEEDS]]-DE_BKCDN[[#This Row],[SOLD]]</f>
        <v>0</v>
      </c>
      <c r="AI57" s="1118" t="str">
        <f t="shared" si="29"/>
        <v/>
      </c>
      <c r="AJ57" s="1119" t="str">
        <f>IF(E57="S", DATEDIF(_xlfn.MAXIFS($F$10:F57, $D$10:D57, D57, $AB$10:AB57, "&gt;0"), F57, "d"), "")</f>
        <v/>
      </c>
      <c r="AK57" s="1118" t="str">
        <f>IF(O57="H",DE_BKCDN[[#This Row],[DATE]],"")</f>
        <v/>
      </c>
      <c r="AL57" s="1120" t="str">
        <f t="shared" si="32"/>
        <v/>
      </c>
      <c r="AM57" s="1121">
        <f t="shared" si="33"/>
        <v>0</v>
      </c>
      <c r="AN57" s="1122">
        <v>0</v>
      </c>
      <c r="AO57" s="1122">
        <f>IFERROR(DE_BKCDN[[#This Row],[MKT]]*DE_BKCDN[[#This Row],[HOLDINGS]],0)</f>
        <v>0</v>
      </c>
      <c r="AP57" s="1123">
        <f t="shared" si="26"/>
        <v>16.899999999999999</v>
      </c>
      <c r="AQ57" s="159" t="s">
        <v>0</v>
      </c>
      <c r="AR57" s="159"/>
    </row>
    <row r="58" spans="1:44" s="179" customFormat="1" ht="15.75" customHeight="1">
      <c r="A58" s="177"/>
      <c r="B58" s="1176">
        <v>151</v>
      </c>
      <c r="C58" s="194" t="str">
        <f t="shared" si="27"/>
        <v>BK-CDN</v>
      </c>
      <c r="D58" s="178" t="s">
        <v>943</v>
      </c>
      <c r="E58" s="179" t="s">
        <v>3</v>
      </c>
      <c r="F58" s="180">
        <v>45798</v>
      </c>
      <c r="G58" s="1096">
        <f t="shared" si="14"/>
        <v>52.119949999999996</v>
      </c>
      <c r="H58" s="182">
        <v>200</v>
      </c>
      <c r="I58" s="183"/>
      <c r="J58" s="184">
        <v>-10423.99</v>
      </c>
      <c r="K58" s="1095">
        <f t="shared" si="28"/>
        <v>-1110.8399999999983</v>
      </c>
      <c r="L58" s="1100" t="str" cm="1">
        <f t="array" ref="L58">IFERROR(INDEX(M_TRX_TYPE[#Data], U58, MATCH($C$5,M_TRX_TYPE[#Headers], 0)), "")</f>
        <v>1131 Broker CDN Securities</v>
      </c>
      <c r="M58" s="1102" t="str">
        <f t="shared" si="15"/>
        <v>GWO</v>
      </c>
      <c r="N58" s="1103">
        <f>IF((O58="H"),(MAX($N$8:N57)+1),0)</f>
        <v>2</v>
      </c>
      <c r="O58" s="1204" t="str">
        <f t="shared" si="16"/>
        <v>H</v>
      </c>
      <c r="P58" s="1105" cm="1">
        <f t="array" ref="P58">MAX(IF($D$10:$D$84=D58, $S$10:$S$84))</f>
        <v>2</v>
      </c>
      <c r="Q58" s="1106">
        <f>IF((E58="B"),(MAX($Q$6:Q57)+1),0)</f>
        <v>14</v>
      </c>
      <c r="R58" s="1106">
        <f>IF((AG58&lt;0),(MAX($R$8:$R57)+1),0)</f>
        <v>0</v>
      </c>
      <c r="S58" s="1086">
        <f>IF((M58=""),0,COUNTIF($M$8:M58,M58))</f>
        <v>1</v>
      </c>
      <c r="T58" s="1086">
        <f>IFERROR(MATCH(M58,M_SYMBOL[SYMBOL],0),"")</f>
        <v>111</v>
      </c>
      <c r="U58" s="1070">
        <f>IFERROR(MATCH(E58,M_TRX_TYPE[TYPE],0),"")</f>
        <v>3</v>
      </c>
      <c r="V58" s="1107">
        <f t="shared" si="17"/>
        <v>0</v>
      </c>
      <c r="W58" s="1095">
        <f t="shared" si="18"/>
        <v>0</v>
      </c>
      <c r="X58" s="1108">
        <f t="shared" si="19"/>
        <v>10423.99</v>
      </c>
      <c r="Y58" s="1109">
        <f>IF(S58=1,0,IF(M58="",0,IF(S58&gt;1,(SUMIF($M$8:Z57,M58,$Z$8:Z57))+(SUMIF($M$8:Z57,M58,$AA$8:AA57)),0)))</f>
        <v>0</v>
      </c>
      <c r="Z58" s="1110">
        <f t="shared" si="20"/>
        <v>200</v>
      </c>
      <c r="AA58" s="1111">
        <f t="shared" si="21"/>
        <v>0</v>
      </c>
      <c r="AB58" s="1112">
        <f>DE_BKCDN[[#This Row],[PREVIOUS
UNITS]]+DE_BKCDN[[#This Row],[SHARES
BOUGHT]]+DE_BKCDN[[#This Row],[SHARES 
SOLD]]</f>
        <v>200</v>
      </c>
      <c r="AC58" s="1113">
        <f>IF(S58=1,0,IF(M58="",0,IF(S58&gt;1,SUMIF($M$8:AE57,M58,$AE$8:AE57)+SUMIF($M$8:AE57,M58,$AD$8:AD57),0)))</f>
        <v>0</v>
      </c>
      <c r="AD58" s="1114">
        <f t="shared" si="22"/>
        <v>10423.99</v>
      </c>
      <c r="AE58" s="1115">
        <f t="shared" si="23"/>
        <v>0</v>
      </c>
      <c r="AF58" s="1116">
        <f t="shared" si="24"/>
        <v>10423.99</v>
      </c>
      <c r="AG58" s="1117">
        <f t="shared" si="25"/>
        <v>0</v>
      </c>
      <c r="AH58" s="1115">
        <f>DE_BKCDN[[#This Row],[PROCEEDS]]-DE_BKCDN[[#This Row],[SOLD]]</f>
        <v>0</v>
      </c>
      <c r="AI58" s="1118">
        <f t="shared" si="29"/>
        <v>45798</v>
      </c>
      <c r="AJ58" s="1119" t="str">
        <f>IF(E58="S", DATEDIF(_xlfn.MAXIFS($F$10:F58, $D$10:D58, D58, $AB$10:AB58, "&gt;0"), F58, "d"), "")</f>
        <v/>
      </c>
      <c r="AK58" s="1118">
        <f>IF(O58="H",DE_BKCDN[[#This Row],[DATE]],"")</f>
        <v>45798</v>
      </c>
      <c r="AL58" s="1120">
        <f t="shared" ca="1" si="32"/>
        <v>202</v>
      </c>
      <c r="AM58" s="1121">
        <f t="shared" ca="1" si="33"/>
        <v>10527.73</v>
      </c>
      <c r="AN58" s="1122">
        <v>0</v>
      </c>
      <c r="AO58" s="1122">
        <f ca="1">IFERROR(DE_BKCDN[[#This Row],[MKT]]*DE_BKCDN[[#This Row],[HOLDINGS]],0)</f>
        <v>0</v>
      </c>
      <c r="AP58" s="1123" t="str">
        <f t="shared" si="26"/>
        <v xml:space="preserve"> </v>
      </c>
      <c r="AQ58" s="159" t="s">
        <v>0</v>
      </c>
      <c r="AR58" s="159"/>
    </row>
    <row r="59" spans="1:44" s="179" customFormat="1" ht="15.75" customHeight="1">
      <c r="A59" s="177"/>
      <c r="B59" s="1176">
        <v>152</v>
      </c>
      <c r="C59" s="194" t="str">
        <f t="shared" si="27"/>
        <v>BK-CDN</v>
      </c>
      <c r="D59" s="178" t="s">
        <v>893</v>
      </c>
      <c r="E59" s="179" t="s">
        <v>4</v>
      </c>
      <c r="F59" s="180">
        <v>45798</v>
      </c>
      <c r="G59" s="1096">
        <f t="shared" si="14"/>
        <v>4.5309900990099008</v>
      </c>
      <c r="H59" s="182">
        <v>-101</v>
      </c>
      <c r="I59" s="183"/>
      <c r="J59" s="184">
        <f>453.01+4.62</f>
        <v>457.63</v>
      </c>
      <c r="K59" s="1095">
        <f t="shared" si="28"/>
        <v>-653.20999999999833</v>
      </c>
      <c r="L59" s="1100" t="str" cm="1">
        <f t="array" ref="L59">IFERROR(INDEX(M_TRX_TYPE[#Data], U59, MATCH($C$5,M_TRX_TYPE[#Headers], 0)), "")</f>
        <v xml:space="preserve">4023 Sale of CDN Securities </v>
      </c>
      <c r="M59" s="1102" t="str">
        <f t="shared" si="15"/>
        <v>ADW.A</v>
      </c>
      <c r="N59" s="1103">
        <f>IF((O59="H"),(MAX($N$8:N58)+1),0)</f>
        <v>0</v>
      </c>
      <c r="O59" s="1204" t="str">
        <f t="shared" si="16"/>
        <v/>
      </c>
      <c r="P59" s="1105" cm="1">
        <f t="array" ref="P59">MAX(IF($D$10:$D$84=D59, $S$10:$S$84))</f>
        <v>3</v>
      </c>
      <c r="Q59" s="1106">
        <f>IF((E59="B"),(MAX($Q$6:Q58)+1),0)</f>
        <v>0</v>
      </c>
      <c r="R59" s="1106">
        <f>IF((AG59&lt;0),(MAX($R$8:$R58)+1),0)</f>
        <v>14</v>
      </c>
      <c r="S59" s="1086">
        <f>IF((M59=""),0,COUNTIF($M$8:M59,M59))</f>
        <v>3</v>
      </c>
      <c r="T59" s="1086">
        <f>IFERROR(MATCH(M59,M_SYMBOL[SYMBOL],0),"")</f>
        <v>32</v>
      </c>
      <c r="U59" s="1070">
        <f>IFERROR(MATCH(E59,M_TRX_TYPE[TYPE],0),"")</f>
        <v>4</v>
      </c>
      <c r="V59" s="1107">
        <f t="shared" si="17"/>
        <v>0</v>
      </c>
      <c r="W59" s="1095">
        <f t="shared" si="18"/>
        <v>0</v>
      </c>
      <c r="X59" s="1108">
        <f t="shared" si="19"/>
        <v>-457.63</v>
      </c>
      <c r="Y59" s="1109">
        <f ca="1">IF(S59=1,0,IF(M59="",0,IF(S59&gt;1,(SUMIF($M$8:Z58,M59,$Z$8:Z58))+(SUMIF($M$8:Z58,M59,$AA$8:AA58)),0)))</f>
        <v>101</v>
      </c>
      <c r="Z59" s="1110">
        <f t="shared" si="20"/>
        <v>0</v>
      </c>
      <c r="AA59" s="1111">
        <f t="shared" si="21"/>
        <v>-101</v>
      </c>
      <c r="AB59" s="1112">
        <f ca="1">DE_BKCDN[[#This Row],[PREVIOUS
UNITS]]+DE_BKCDN[[#This Row],[SHARES
BOUGHT]]+DE_BKCDN[[#This Row],[SHARES 
SOLD]]</f>
        <v>0</v>
      </c>
      <c r="AC59" s="1113">
        <f ca="1">IF(S59=1,0,IF(M59="",0,IF(S59&gt;1,SUMIF($M$8:AE58,M59,$AE$8:AE58)+SUMIF($M$8:AE58,M59,$AD$8:AD58),0)))</f>
        <v>493.45</v>
      </c>
      <c r="AD59" s="1114">
        <f t="shared" si="22"/>
        <v>0</v>
      </c>
      <c r="AE59" s="1115">
        <f t="shared" ca="1" si="23"/>
        <v>-493.45</v>
      </c>
      <c r="AF59" s="1116">
        <f t="shared" ca="1" si="24"/>
        <v>0</v>
      </c>
      <c r="AG59" s="1117">
        <f t="shared" si="25"/>
        <v>-457.63</v>
      </c>
      <c r="AH59" s="1115">
        <f ca="1">DE_BKCDN[[#This Row],[PROCEEDS]]-DE_BKCDN[[#This Row],[SOLD]]</f>
        <v>35.819999999999993</v>
      </c>
      <c r="AI59" s="1118" t="str">
        <f t="shared" ca="1" si="29"/>
        <v/>
      </c>
      <c r="AJ59" s="1119">
        <f ca="1">IF(E59="S", DATEDIF(_xlfn.MAXIFS($F$10:F59, $D$10:D59, D59, $AB$10:AB59, "&gt;0"), F59, "d"), "")</f>
        <v>30</v>
      </c>
      <c r="AK59" s="1118" t="str">
        <f>IF(O59="H",DE_BKCDN[[#This Row],[DATE]],"")</f>
        <v/>
      </c>
      <c r="AL59" s="1120" t="str">
        <f t="shared" si="32"/>
        <v/>
      </c>
      <c r="AM59" s="1121">
        <f t="shared" si="33"/>
        <v>0</v>
      </c>
      <c r="AN59" s="1122">
        <v>0</v>
      </c>
      <c r="AO59" s="1122">
        <f>IFERROR(DE_BKCDN[[#This Row],[MKT]]*DE_BKCDN[[#This Row],[HOLDINGS]],0)</f>
        <v>0</v>
      </c>
      <c r="AP59" s="1123" t="str">
        <f t="shared" si="26"/>
        <v xml:space="preserve"> </v>
      </c>
      <c r="AQ59" s="159" t="s">
        <v>0</v>
      </c>
      <c r="AR59" s="159"/>
    </row>
    <row r="60" spans="1:44" s="179" customFormat="1" ht="15.75" customHeight="1">
      <c r="A60" s="177"/>
      <c r="B60" s="1176">
        <v>153</v>
      </c>
      <c r="C60" s="194" t="str">
        <f t="shared" si="27"/>
        <v>BK-CDN</v>
      </c>
      <c r="D60" s="178" t="s">
        <v>900</v>
      </c>
      <c r="E60" s="179" t="s">
        <v>4</v>
      </c>
      <c r="F60" s="180">
        <v>45798</v>
      </c>
      <c r="G60" s="1096">
        <f t="shared" si="14"/>
        <v>7.8028612303290421</v>
      </c>
      <c r="H60" s="182">
        <v>-699</v>
      </c>
      <c r="I60" s="183"/>
      <c r="J60" s="184">
        <f>3900.01+781+773.19</f>
        <v>5454.2000000000007</v>
      </c>
      <c r="K60" s="1095">
        <f t="shared" si="28"/>
        <v>4800.9900000000025</v>
      </c>
      <c r="L60" s="1100" t="str" cm="1">
        <f t="array" ref="L60">IFERROR(INDEX(M_TRX_TYPE[#Data], U60, MATCH($C$5,M_TRX_TYPE[#Headers], 0)), "")</f>
        <v xml:space="preserve">4023 Sale of CDN Securities </v>
      </c>
      <c r="M60" s="1102" t="str">
        <f t="shared" si="15"/>
        <v>BLN</v>
      </c>
      <c r="N60" s="1103">
        <f>IF((O60="H"),(MAX($N$8:N59)+1),0)</f>
        <v>0</v>
      </c>
      <c r="O60" s="1204" t="str">
        <f t="shared" si="16"/>
        <v/>
      </c>
      <c r="P60" s="1105" cm="1">
        <f t="array" ref="P60">MAX(IF($D$10:$D$84=D60, $S$10:$S$84))</f>
        <v>2</v>
      </c>
      <c r="Q60" s="1106">
        <f>IF((E60="B"),(MAX($Q$6:Q59)+1),0)</f>
        <v>0</v>
      </c>
      <c r="R60" s="1106">
        <f>IF((AG60&lt;0),(MAX($R$8:$R59)+1),0)</f>
        <v>15</v>
      </c>
      <c r="S60" s="1086">
        <f>IF((M60=""),0,COUNTIF($M$8:M60,M60))</f>
        <v>2</v>
      </c>
      <c r="T60" s="1086">
        <f>IFERROR(MATCH(M60,M_SYMBOL[SYMBOL],0),"")</f>
        <v>43</v>
      </c>
      <c r="U60" s="1070">
        <f>IFERROR(MATCH(E60,M_TRX_TYPE[TYPE],0),"")</f>
        <v>4</v>
      </c>
      <c r="V60" s="1107">
        <f t="shared" si="17"/>
        <v>0</v>
      </c>
      <c r="W60" s="1095">
        <f t="shared" si="18"/>
        <v>0</v>
      </c>
      <c r="X60" s="1108">
        <f t="shared" si="19"/>
        <v>-5454.2000000000007</v>
      </c>
      <c r="Y60" s="1109">
        <f ca="1">IF(S60=1,0,IF(M60="",0,IF(S60&gt;1,(SUMIF($M$8:Z59,M60,$Z$8:Z59))+(SUMIF($M$8:Z59,M60,$AA$8:AA59)),0)))</f>
        <v>699</v>
      </c>
      <c r="Z60" s="1110">
        <f t="shared" si="20"/>
        <v>0</v>
      </c>
      <c r="AA60" s="1111">
        <f t="shared" si="21"/>
        <v>-699</v>
      </c>
      <c r="AB60" s="1112">
        <f ca="1">DE_BKCDN[[#This Row],[PREVIOUS
UNITS]]+DE_BKCDN[[#This Row],[SHARES
BOUGHT]]+DE_BKCDN[[#This Row],[SHARES 
SOLD]]</f>
        <v>0</v>
      </c>
      <c r="AC60" s="1113">
        <f ca="1">IF(S60=1,0,IF(M60="",0,IF(S60&gt;1,SUMIF($M$8:AE59,M60,$AE$8:AE59)+SUMIF($M$8:AE59,M60,$AD$8:AD59),0)))</f>
        <v>4816.12</v>
      </c>
      <c r="AD60" s="1114">
        <f t="shared" si="22"/>
        <v>0</v>
      </c>
      <c r="AE60" s="1115">
        <f t="shared" ca="1" si="23"/>
        <v>-4816.12</v>
      </c>
      <c r="AF60" s="1116">
        <f t="shared" ca="1" si="24"/>
        <v>0</v>
      </c>
      <c r="AG60" s="1117">
        <f t="shared" si="25"/>
        <v>-5454.2000000000007</v>
      </c>
      <c r="AH60" s="1115">
        <f ca="1">DE_BKCDN[[#This Row],[PROCEEDS]]-DE_BKCDN[[#This Row],[SOLD]]</f>
        <v>-638.08000000000084</v>
      </c>
      <c r="AI60" s="1118" t="str">
        <f t="shared" ca="1" si="29"/>
        <v/>
      </c>
      <c r="AJ60" s="1119">
        <f ca="1">IF(E60="S", DATEDIF(_xlfn.MAXIFS($F$10:F60, $D$10:D60, D60, $AB$10:AB60, "&gt;0"), F60, "d"), "")</f>
        <v>79</v>
      </c>
      <c r="AK60" s="1118" t="str">
        <f>IF(O60="H",DE_BKCDN[[#This Row],[DATE]],"")</f>
        <v/>
      </c>
      <c r="AL60" s="1120" t="str">
        <f t="shared" si="32"/>
        <v/>
      </c>
      <c r="AM60" s="1121">
        <f t="shared" si="33"/>
        <v>0</v>
      </c>
      <c r="AN60" s="1122">
        <v>0</v>
      </c>
      <c r="AO60" s="1122">
        <f>IFERROR(DE_BKCDN[[#This Row],[MKT]]*DE_BKCDN[[#This Row],[HOLDINGS]],0)</f>
        <v>0</v>
      </c>
      <c r="AP60" s="1123" t="str">
        <f t="shared" si="26"/>
        <v xml:space="preserve"> </v>
      </c>
      <c r="AQ60" s="159" t="s">
        <v>0</v>
      </c>
      <c r="AR60" s="159"/>
    </row>
    <row r="61" spans="1:44" s="179" customFormat="1" ht="15.75" customHeight="1">
      <c r="A61" s="177"/>
      <c r="B61" s="1176">
        <v>154</v>
      </c>
      <c r="C61" s="194" t="str">
        <f t="shared" si="27"/>
        <v>BK-CDN</v>
      </c>
      <c r="D61" s="178" t="s">
        <v>934</v>
      </c>
      <c r="E61" s="179" t="s">
        <v>3</v>
      </c>
      <c r="F61" s="180">
        <v>45798</v>
      </c>
      <c r="G61" s="1096">
        <f t="shared" si="14"/>
        <v>17.544975000000001</v>
      </c>
      <c r="H61" s="182">
        <v>400</v>
      </c>
      <c r="I61" s="183"/>
      <c r="J61" s="184">
        <v>-7017.99</v>
      </c>
      <c r="K61" s="1095">
        <f t="shared" si="28"/>
        <v>-2216.9999999999973</v>
      </c>
      <c r="L61" s="1100" t="str" cm="1">
        <f t="array" ref="L61">IFERROR(INDEX(M_TRX_TYPE[#Data], U61, MATCH($C$5,M_TRX_TYPE[#Headers], 0)), "")</f>
        <v>1131 Broker CDN Securities</v>
      </c>
      <c r="M61" s="1102" t="str">
        <f t="shared" si="15"/>
        <v>FCR.UN</v>
      </c>
      <c r="N61" s="1103">
        <f>IF((O61="H"),(MAX($N$8:N60)+1),0)</f>
        <v>3</v>
      </c>
      <c r="O61" s="1204" t="str">
        <f t="shared" si="16"/>
        <v>H</v>
      </c>
      <c r="P61" s="1105" cm="1">
        <f t="array" ref="P61">MAX(IF($D$10:$D$84=D61, $S$10:$S$84))</f>
        <v>3</v>
      </c>
      <c r="Q61" s="1106">
        <f>IF((E61="B"),(MAX($Q$6:Q60)+1),0)</f>
        <v>15</v>
      </c>
      <c r="R61" s="1106">
        <f>IF((AG61&lt;0),(MAX($R$8:$R60)+1),0)</f>
        <v>0</v>
      </c>
      <c r="S61" s="1086">
        <f>IF((M61=""),0,COUNTIF($M$8:M61,M61))</f>
        <v>1</v>
      </c>
      <c r="T61" s="1086">
        <f>IFERROR(MATCH(M61,M_SYMBOL[SYMBOL],0),"")</f>
        <v>100</v>
      </c>
      <c r="U61" s="1070">
        <f>IFERROR(MATCH(E61,M_TRX_TYPE[TYPE],0),"")</f>
        <v>3</v>
      </c>
      <c r="V61" s="1107">
        <f t="shared" si="17"/>
        <v>0</v>
      </c>
      <c r="W61" s="1095">
        <f t="shared" si="18"/>
        <v>0</v>
      </c>
      <c r="X61" s="1108">
        <f t="shared" si="19"/>
        <v>7017.99</v>
      </c>
      <c r="Y61" s="1109">
        <f>IF(S61=1,0,IF(M61="",0,IF(S61&gt;1,(SUMIF($M$8:Z60,M61,$Z$8:Z60))+(SUMIF($M$8:Z60,M61,$AA$8:AA60)),0)))</f>
        <v>0</v>
      </c>
      <c r="Z61" s="1110">
        <f t="shared" si="20"/>
        <v>400</v>
      </c>
      <c r="AA61" s="1111">
        <f t="shared" si="21"/>
        <v>0</v>
      </c>
      <c r="AB61" s="1112">
        <f>DE_BKCDN[[#This Row],[PREVIOUS
UNITS]]+DE_BKCDN[[#This Row],[SHARES
BOUGHT]]+DE_BKCDN[[#This Row],[SHARES 
SOLD]]</f>
        <v>400</v>
      </c>
      <c r="AC61" s="1113">
        <f>IF(S61=1,0,IF(M61="",0,IF(S61&gt;1,SUMIF($M$8:AE60,M61,$AE$8:AE60)+SUMIF($M$8:AE60,M61,$AD$8:AD60),0)))</f>
        <v>0</v>
      </c>
      <c r="AD61" s="1114">
        <f t="shared" si="22"/>
        <v>7017.99</v>
      </c>
      <c r="AE61" s="1115">
        <f t="shared" si="23"/>
        <v>0</v>
      </c>
      <c r="AF61" s="1116">
        <f t="shared" si="24"/>
        <v>7017.99</v>
      </c>
      <c r="AG61" s="1117">
        <f t="shared" si="25"/>
        <v>0</v>
      </c>
      <c r="AH61" s="1115">
        <f>DE_BKCDN[[#This Row],[PROCEEDS]]-DE_BKCDN[[#This Row],[SOLD]]</f>
        <v>0</v>
      </c>
      <c r="AI61" s="1118">
        <f t="shared" si="29"/>
        <v>45798</v>
      </c>
      <c r="AJ61" s="1119" t="str">
        <f>IF(E61="S", DATEDIF(_xlfn.MAXIFS($F$10:F61, $D$10:D61, D61, $AB$10:AB61, "&gt;0"), F61, "d"), "")</f>
        <v/>
      </c>
      <c r="AK61" s="1118">
        <f>IF(O61="H",DE_BKCDN[[#This Row],[DATE]],"")</f>
        <v>45798</v>
      </c>
      <c r="AL61" s="1120">
        <f t="shared" ca="1" si="32"/>
        <v>402</v>
      </c>
      <c r="AM61" s="1121">
        <f t="shared" ca="1" si="33"/>
        <v>7054.18</v>
      </c>
      <c r="AN61" s="1122">
        <v>0</v>
      </c>
      <c r="AO61" s="1122">
        <f ca="1">IFERROR(DE_BKCDN[[#This Row],[MKT]]*DE_BKCDN[[#This Row],[HOLDINGS]],0)</f>
        <v>0</v>
      </c>
      <c r="AP61" s="1123" t="str">
        <f t="shared" si="26"/>
        <v xml:space="preserve"> </v>
      </c>
      <c r="AQ61" s="159" t="s">
        <v>0</v>
      </c>
      <c r="AR61" s="159"/>
    </row>
    <row r="62" spans="1:44" s="179" customFormat="1" ht="15.75" customHeight="1">
      <c r="A62" s="177"/>
      <c r="B62" s="1176">
        <v>155</v>
      </c>
      <c r="C62" s="194" t="str">
        <f t="shared" si="27"/>
        <v>BK-CDN</v>
      </c>
      <c r="D62" s="178" t="s">
        <v>959</v>
      </c>
      <c r="E62" s="179" t="s">
        <v>3</v>
      </c>
      <c r="F62" s="180">
        <v>45798</v>
      </c>
      <c r="G62" s="1096">
        <f t="shared" si="14"/>
        <v>19.238764705882353</v>
      </c>
      <c r="H62" s="182">
        <v>170</v>
      </c>
      <c r="I62" s="183"/>
      <c r="J62" s="184">
        <f>-1342.6-1927.99</f>
        <v>-3270.59</v>
      </c>
      <c r="K62" s="1095">
        <f t="shared" si="28"/>
        <v>-5487.5899999999974</v>
      </c>
      <c r="L62" s="1100" t="str" cm="1">
        <f t="array" ref="L62">IFERROR(INDEX(M_TRX_TYPE[#Data], U62, MATCH($C$5,M_TRX_TYPE[#Headers], 0)), "")</f>
        <v>1131 Broker CDN Securities</v>
      </c>
      <c r="M62" s="1102" t="str">
        <f t="shared" si="15"/>
        <v>KMP.UN</v>
      </c>
      <c r="N62" s="1103">
        <f>IF((O62="H"),(MAX($N$8:N61)+1),0)</f>
        <v>4</v>
      </c>
      <c r="O62" s="1204" t="str">
        <f t="shared" si="16"/>
        <v>H</v>
      </c>
      <c r="P62" s="1105" cm="1">
        <f t="array" ref="P62">MAX(IF($D$10:$D$84=D62, $S$10:$S$84))</f>
        <v>1</v>
      </c>
      <c r="Q62" s="1106">
        <f>IF((E62="B"),(MAX($Q$6:Q61)+1),0)</f>
        <v>16</v>
      </c>
      <c r="R62" s="1106">
        <f>IF((AG62&lt;0),(MAX($R$8:$R61)+1),0)</f>
        <v>0</v>
      </c>
      <c r="S62" s="1086">
        <f>IF((M62=""),0,COUNTIF($M$8:M62,M62))</f>
        <v>1</v>
      </c>
      <c r="T62" s="1086">
        <f>IFERROR(MATCH(M62,M_SYMBOL[SYMBOL],0),"")</f>
        <v>137</v>
      </c>
      <c r="U62" s="1070">
        <f>IFERROR(MATCH(E62,M_TRX_TYPE[TYPE],0),"")</f>
        <v>3</v>
      </c>
      <c r="V62" s="1107">
        <f t="shared" si="17"/>
        <v>0</v>
      </c>
      <c r="W62" s="1095">
        <f t="shared" si="18"/>
        <v>0</v>
      </c>
      <c r="X62" s="1108">
        <f t="shared" si="19"/>
        <v>3270.59</v>
      </c>
      <c r="Y62" s="1109">
        <f>IF(S62=1,0,IF(M62="",0,IF(S62&gt;1,(SUMIF($M$8:Z61,M62,$Z$8:Z61))+(SUMIF($M$8:Z61,M62,$AA$8:AA61)),0)))</f>
        <v>0</v>
      </c>
      <c r="Z62" s="1110">
        <f t="shared" si="20"/>
        <v>170</v>
      </c>
      <c r="AA62" s="1111">
        <f t="shared" si="21"/>
        <v>0</v>
      </c>
      <c r="AB62" s="1112">
        <f>DE_BKCDN[[#This Row],[PREVIOUS
UNITS]]+DE_BKCDN[[#This Row],[SHARES
BOUGHT]]+DE_BKCDN[[#This Row],[SHARES 
SOLD]]</f>
        <v>170</v>
      </c>
      <c r="AC62" s="1113">
        <f>IF(S62=1,0,IF(M62="",0,IF(S62&gt;1,SUMIF($M$8:AE61,M62,$AE$8:AE61)+SUMIF($M$8:AE61,M62,$AD$8:AD61),0)))</f>
        <v>0</v>
      </c>
      <c r="AD62" s="1114">
        <f t="shared" si="22"/>
        <v>3270.59</v>
      </c>
      <c r="AE62" s="1115">
        <f t="shared" si="23"/>
        <v>0</v>
      </c>
      <c r="AF62" s="1116">
        <f t="shared" si="24"/>
        <v>3270.59</v>
      </c>
      <c r="AG62" s="1117">
        <f t="shared" si="25"/>
        <v>0</v>
      </c>
      <c r="AH62" s="1115">
        <f>DE_BKCDN[[#This Row],[PROCEEDS]]-DE_BKCDN[[#This Row],[SOLD]]</f>
        <v>0</v>
      </c>
      <c r="AI62" s="1118">
        <f t="shared" si="29"/>
        <v>45798</v>
      </c>
      <c r="AJ62" s="1119" t="str">
        <f>IF(E62="S", DATEDIF(_xlfn.MAXIFS($F$10:F62, $D$10:D62, D62, $AB$10:AB62, "&gt;0"), F62, "d"), "")</f>
        <v/>
      </c>
      <c r="AK62" s="1118">
        <f>IF(O62="H",DE_BKCDN[[#This Row],[DATE]],"")</f>
        <v>45798</v>
      </c>
      <c r="AL62" s="1120">
        <f t="shared" ca="1" si="32"/>
        <v>170</v>
      </c>
      <c r="AM62" s="1121">
        <f t="shared" ca="1" si="33"/>
        <v>3270.59</v>
      </c>
      <c r="AN62" s="1122">
        <v>0</v>
      </c>
      <c r="AO62" s="1122">
        <f ca="1">IFERROR(DE_BKCDN[[#This Row],[MKT]]*DE_BKCDN[[#This Row],[HOLDINGS]],0)</f>
        <v>0</v>
      </c>
      <c r="AP62" s="1123" t="str">
        <f t="shared" si="26"/>
        <v xml:space="preserve"> </v>
      </c>
      <c r="AQ62" s="159" t="s">
        <v>0</v>
      </c>
      <c r="AR62" s="159"/>
    </row>
    <row r="63" spans="1:44" s="179" customFormat="1" ht="15.75" customHeight="1">
      <c r="A63" s="177"/>
      <c r="B63" s="1176">
        <v>156</v>
      </c>
      <c r="C63" s="194" t="str">
        <f t="shared" si="27"/>
        <v>BK-CDN</v>
      </c>
      <c r="D63" s="178" t="s">
        <v>955</v>
      </c>
      <c r="E63" s="179" t="s">
        <v>34</v>
      </c>
      <c r="F63" s="180">
        <v>45807</v>
      </c>
      <c r="G63" s="1096" t="str">
        <f t="shared" si="14"/>
        <v xml:space="preserve"> </v>
      </c>
      <c r="H63" s="182">
        <v>0</v>
      </c>
      <c r="I63" s="183"/>
      <c r="J63" s="184">
        <v>16.899999999999999</v>
      </c>
      <c r="K63" s="1095">
        <f t="shared" si="28"/>
        <v>-5470.6899999999978</v>
      </c>
      <c r="L63" s="1100" t="str" cm="1">
        <f t="array" ref="L63">IFERROR(INDEX(M_TRX_TYPE[#Data], U63, MATCH($C$5,M_TRX_TYPE[#Headers], 0)), "")</f>
        <v>4460 Dividends Cdn</v>
      </c>
      <c r="M63" s="1102" t="str">
        <f t="shared" si="15"/>
        <v/>
      </c>
      <c r="N63" s="1103">
        <f>IF((O63="H"),(MAX($N$8:N62)+1),0)</f>
        <v>0</v>
      </c>
      <c r="O63" s="1204" t="str">
        <f t="shared" si="16"/>
        <v/>
      </c>
      <c r="P63" s="1105" cm="1">
        <f t="array" ref="P63">MAX(IF($D$10:$D$84=D63, $S$10:$S$84))</f>
        <v>1</v>
      </c>
      <c r="Q63" s="1106">
        <f>IF((E63="B"),(MAX($Q$6:Q62)+1),0)</f>
        <v>0</v>
      </c>
      <c r="R63" s="1106">
        <f>IF((AG63&lt;0),(MAX($R$8:$R62)+1),0)</f>
        <v>0</v>
      </c>
      <c r="S63" s="1086">
        <f>IF((M63=""),0,COUNTIF($M$8:M63,M63))</f>
        <v>0</v>
      </c>
      <c r="T63" s="1086" t="str">
        <f>IFERROR(MATCH(M63,M_SYMBOL[SYMBOL],0),"")</f>
        <v/>
      </c>
      <c r="U63" s="1070">
        <f>IFERROR(MATCH(E63,M_TRX_TYPE[TYPE],0),"")</f>
        <v>7</v>
      </c>
      <c r="V63" s="1107">
        <f t="shared" si="17"/>
        <v>0</v>
      </c>
      <c r="W63" s="1095">
        <f t="shared" si="18"/>
        <v>0</v>
      </c>
      <c r="X63" s="1108">
        <f t="shared" si="19"/>
        <v>-16.899999999999999</v>
      </c>
      <c r="Y63" s="1109">
        <f>IF(S63=1,0,IF(M63="",0,IF(S63&gt;1,(SUMIF($M$8:Z62,M63,$Z$8:Z62))+(SUMIF($M$8:Z62,M63,$AA$8:AA62)),0)))</f>
        <v>0</v>
      </c>
      <c r="Z63" s="1110">
        <f t="shared" si="20"/>
        <v>0</v>
      </c>
      <c r="AA63" s="1111">
        <f t="shared" si="21"/>
        <v>0</v>
      </c>
      <c r="AB63" s="1112">
        <f>DE_BKCDN[[#This Row],[PREVIOUS
UNITS]]+DE_BKCDN[[#This Row],[SHARES
BOUGHT]]+DE_BKCDN[[#This Row],[SHARES 
SOLD]]</f>
        <v>0</v>
      </c>
      <c r="AC63" s="1113">
        <f>IF(S63=1,0,IF(M63="",0,IF(S63&gt;1,SUMIF($M$8:AE62,M63,$AE$8:AE62)+SUMIF($M$8:AE62,M63,$AD$8:AD62),0)))</f>
        <v>0</v>
      </c>
      <c r="AD63" s="1114">
        <f t="shared" si="22"/>
        <v>0</v>
      </c>
      <c r="AE63" s="1115">
        <f t="shared" si="23"/>
        <v>0</v>
      </c>
      <c r="AF63" s="1116">
        <f t="shared" si="24"/>
        <v>0</v>
      </c>
      <c r="AG63" s="1117">
        <f t="shared" si="25"/>
        <v>0</v>
      </c>
      <c r="AH63" s="1115">
        <f>DE_BKCDN[[#This Row],[PROCEEDS]]-DE_BKCDN[[#This Row],[SOLD]]</f>
        <v>0</v>
      </c>
      <c r="AI63" s="1118" t="str">
        <f t="shared" si="29"/>
        <v/>
      </c>
      <c r="AJ63" s="1119" t="str">
        <f>IF(E63="S", DATEDIF(_xlfn.MAXIFS($F$10:F63, $D$10:D63, D63, $AB$10:AB63, "&gt;0"), F63, "d"), "")</f>
        <v/>
      </c>
      <c r="AK63" s="1118" t="str">
        <f>IF(O63="H",DE_BKCDN[[#This Row],[DATE]],"")</f>
        <v/>
      </c>
      <c r="AL63" s="1120" t="str">
        <f t="shared" si="32"/>
        <v/>
      </c>
      <c r="AM63" s="1121">
        <f t="shared" si="33"/>
        <v>0</v>
      </c>
      <c r="AN63" s="1122">
        <v>0</v>
      </c>
      <c r="AO63" s="1122">
        <f>IFERROR(DE_BKCDN[[#This Row],[MKT]]*DE_BKCDN[[#This Row],[HOLDINGS]],0)</f>
        <v>0</v>
      </c>
      <c r="AP63" s="1123">
        <f t="shared" si="26"/>
        <v>16.899999999999999</v>
      </c>
      <c r="AQ63" s="159" t="s">
        <v>0</v>
      </c>
      <c r="AR63" s="159"/>
    </row>
    <row r="64" spans="1:44" s="179" customFormat="1" ht="15.75" customHeight="1">
      <c r="A64" s="177"/>
      <c r="B64" s="1176">
        <v>157</v>
      </c>
      <c r="C64" s="194" t="str">
        <f t="shared" si="27"/>
        <v>BK-CDN</v>
      </c>
      <c r="D64" s="178" t="s">
        <v>934</v>
      </c>
      <c r="E64" s="179" t="s">
        <v>34</v>
      </c>
      <c r="F64" s="180">
        <v>45826</v>
      </c>
      <c r="G64" s="1096" t="str">
        <f t="shared" si="14"/>
        <v xml:space="preserve"> </v>
      </c>
      <c r="H64" s="182">
        <v>0</v>
      </c>
      <c r="I64" s="183"/>
      <c r="J64" s="184">
        <v>29.67</v>
      </c>
      <c r="K64" s="1095">
        <f t="shared" si="28"/>
        <v>-5441.0199999999977</v>
      </c>
      <c r="L64" s="1100" t="str" cm="1">
        <f t="array" ref="L64">IFERROR(INDEX(M_TRX_TYPE[#Data], U64, MATCH($C$5,M_TRX_TYPE[#Headers], 0)), "")</f>
        <v>4460 Dividends Cdn</v>
      </c>
      <c r="M64" s="1102" t="str">
        <f t="shared" si="15"/>
        <v/>
      </c>
      <c r="N64" s="1103">
        <f>IF((O64="H"),(MAX($N$8:N63)+1),0)</f>
        <v>0</v>
      </c>
      <c r="O64" s="1204" t="str">
        <f t="shared" si="16"/>
        <v/>
      </c>
      <c r="P64" s="1105" cm="1">
        <f t="array" ref="P64">MAX(IF($D$10:$D$84=D64, $S$10:$S$84))</f>
        <v>3</v>
      </c>
      <c r="Q64" s="1106">
        <f>IF((E64="B"),(MAX($Q$6:Q63)+1),0)</f>
        <v>0</v>
      </c>
      <c r="R64" s="1106">
        <f>IF((AG64&lt;0),(MAX($R$8:$R63)+1),0)</f>
        <v>0</v>
      </c>
      <c r="S64" s="1086">
        <f>IF((M64=""),0,COUNTIF($M$8:M64,M64))</f>
        <v>0</v>
      </c>
      <c r="T64" s="1086" t="str">
        <f>IFERROR(MATCH(M64,M_SYMBOL[SYMBOL],0),"")</f>
        <v/>
      </c>
      <c r="U64" s="1070">
        <f>IFERROR(MATCH(E64,M_TRX_TYPE[TYPE],0),"")</f>
        <v>7</v>
      </c>
      <c r="V64" s="1107">
        <f t="shared" si="17"/>
        <v>0</v>
      </c>
      <c r="W64" s="1095">
        <f t="shared" si="18"/>
        <v>0</v>
      </c>
      <c r="X64" s="1108">
        <f t="shared" si="19"/>
        <v>-29.67</v>
      </c>
      <c r="Y64" s="1109">
        <f>IF(S64=1,0,IF(M64="",0,IF(S64&gt;1,(SUMIF($M$8:Z63,M64,$Z$8:Z63))+(SUMIF($M$8:Z63,M64,$AA$8:AA63)),0)))</f>
        <v>0</v>
      </c>
      <c r="Z64" s="1110">
        <f t="shared" si="20"/>
        <v>0</v>
      </c>
      <c r="AA64" s="1111">
        <f t="shared" si="21"/>
        <v>0</v>
      </c>
      <c r="AB64" s="1112">
        <f>DE_BKCDN[[#This Row],[PREVIOUS
UNITS]]+DE_BKCDN[[#This Row],[SHARES
BOUGHT]]+DE_BKCDN[[#This Row],[SHARES 
SOLD]]</f>
        <v>0</v>
      </c>
      <c r="AC64" s="1113">
        <f>IF(S64=1,0,IF(M64="",0,IF(S64&gt;1,SUMIF($M$8:AE63,M64,$AE$8:AE63)+SUMIF($M$8:AE63,M64,$AD$8:AD63),0)))</f>
        <v>0</v>
      </c>
      <c r="AD64" s="1114">
        <f t="shared" si="22"/>
        <v>0</v>
      </c>
      <c r="AE64" s="1115">
        <f t="shared" si="23"/>
        <v>0</v>
      </c>
      <c r="AF64" s="1116">
        <f t="shared" si="24"/>
        <v>0</v>
      </c>
      <c r="AG64" s="1117">
        <f t="shared" si="25"/>
        <v>0</v>
      </c>
      <c r="AH64" s="1115">
        <f>DE_BKCDN[[#This Row],[PROCEEDS]]-DE_BKCDN[[#This Row],[SOLD]]</f>
        <v>0</v>
      </c>
      <c r="AI64" s="1118" t="str">
        <f t="shared" si="29"/>
        <v/>
      </c>
      <c r="AJ64" s="1119" t="str">
        <f>IF(E64="S", DATEDIF(_xlfn.MAXIFS($F$10:F64, $D$10:D64, D64, $AB$10:AB64, "&gt;0"), F64, "d"), "")</f>
        <v/>
      </c>
      <c r="AK64" s="1118" t="str">
        <f>IF(O64="H",DE_BKCDN[[#This Row],[DATE]],"")</f>
        <v/>
      </c>
      <c r="AL64" s="1120" t="str">
        <f t="shared" si="32"/>
        <v/>
      </c>
      <c r="AM64" s="1121">
        <f t="shared" si="33"/>
        <v>0</v>
      </c>
      <c r="AN64" s="1122">
        <v>0</v>
      </c>
      <c r="AO64" s="1122">
        <f>IFERROR(DE_BKCDN[[#This Row],[MKT]]*DE_BKCDN[[#This Row],[HOLDINGS]],0)</f>
        <v>0</v>
      </c>
      <c r="AP64" s="1123">
        <f t="shared" si="26"/>
        <v>29.67</v>
      </c>
      <c r="AQ64" s="159" t="s">
        <v>0</v>
      </c>
      <c r="AR64" s="159"/>
    </row>
    <row r="65" spans="1:44" s="179" customFormat="1" ht="15.75" customHeight="1">
      <c r="A65" s="177"/>
      <c r="B65" s="1176">
        <v>158</v>
      </c>
      <c r="C65" s="194" t="str">
        <f t="shared" si="27"/>
        <v>BK-CDN</v>
      </c>
      <c r="D65" s="178" t="s">
        <v>934</v>
      </c>
      <c r="E65" s="179" t="s">
        <v>3</v>
      </c>
      <c r="F65" s="180">
        <v>45826</v>
      </c>
      <c r="G65" s="1096">
        <f t="shared" si="14"/>
        <v>17.77</v>
      </c>
      <c r="H65" s="182">
        <v>1</v>
      </c>
      <c r="I65" s="183"/>
      <c r="J65" s="184">
        <v>-17.77</v>
      </c>
      <c r="K65" s="1095">
        <f t="shared" si="28"/>
        <v>-5458.7899999999981</v>
      </c>
      <c r="L65" s="1100" t="str" cm="1">
        <f t="array" ref="L65">IFERROR(INDEX(M_TRX_TYPE[#Data], U65, MATCH($C$5,M_TRX_TYPE[#Headers], 0)), "")</f>
        <v>1131 Broker CDN Securities</v>
      </c>
      <c r="M65" s="1102" t="str">
        <f t="shared" si="15"/>
        <v>FCR.UN</v>
      </c>
      <c r="N65" s="1103">
        <f>IF((O65="H"),(MAX($N$8:N64)+1),0)</f>
        <v>0</v>
      </c>
      <c r="O65" s="1204" t="str">
        <f t="shared" si="16"/>
        <v/>
      </c>
      <c r="P65" s="1105" cm="1">
        <f t="array" ref="P65">MAX(IF($D$10:$D$84=D65, $S$10:$S$84))</f>
        <v>3</v>
      </c>
      <c r="Q65" s="1106">
        <f>IF((E65="B"),(MAX($Q$6:Q64)+1),0)</f>
        <v>17</v>
      </c>
      <c r="R65" s="1106">
        <f>IF((AG65&lt;0),(MAX($R$8:$R64)+1),0)</f>
        <v>0</v>
      </c>
      <c r="S65" s="1086">
        <f>IF((M65=""),0,COUNTIF($M$8:M65,M65))</f>
        <v>2</v>
      </c>
      <c r="T65" s="1086">
        <f>IFERROR(MATCH(M65,M_SYMBOL[SYMBOL],0),"")</f>
        <v>100</v>
      </c>
      <c r="U65" s="1070">
        <f>IFERROR(MATCH(E65,M_TRX_TYPE[TYPE],0),"")</f>
        <v>3</v>
      </c>
      <c r="V65" s="1107">
        <f t="shared" si="17"/>
        <v>0</v>
      </c>
      <c r="W65" s="1095">
        <f t="shared" si="18"/>
        <v>0</v>
      </c>
      <c r="X65" s="1108">
        <f t="shared" si="19"/>
        <v>17.77</v>
      </c>
      <c r="Y65" s="1109">
        <f ca="1">IF(S65=1,0,IF(M65="",0,IF(S65&gt;1,(SUMIF($M$8:Z64,M65,$Z$8:Z64))+(SUMIF($M$8:Z64,M65,$AA$8:AA64)),0)))</f>
        <v>400</v>
      </c>
      <c r="Z65" s="1110">
        <f t="shared" si="20"/>
        <v>1</v>
      </c>
      <c r="AA65" s="1111">
        <f t="shared" si="21"/>
        <v>0</v>
      </c>
      <c r="AB65" s="1112">
        <f ca="1">DE_BKCDN[[#This Row],[PREVIOUS
UNITS]]+DE_BKCDN[[#This Row],[SHARES
BOUGHT]]+DE_BKCDN[[#This Row],[SHARES 
SOLD]]</f>
        <v>401</v>
      </c>
      <c r="AC65" s="1113">
        <f ca="1">IF(S65=1,0,IF(M65="",0,IF(S65&gt;1,SUMIF($M$8:AE64,M65,$AE$8:AE64)+SUMIF($M$8:AE64,M65,$AD$8:AD64),0)))</f>
        <v>7017.99</v>
      </c>
      <c r="AD65" s="1114">
        <f t="shared" si="22"/>
        <v>17.77</v>
      </c>
      <c r="AE65" s="1115">
        <f t="shared" si="23"/>
        <v>0</v>
      </c>
      <c r="AF65" s="1116">
        <f t="shared" ca="1" si="24"/>
        <v>7035.76</v>
      </c>
      <c r="AG65" s="1117">
        <f t="shared" si="25"/>
        <v>0</v>
      </c>
      <c r="AH65" s="1115">
        <f>DE_BKCDN[[#This Row],[PROCEEDS]]-DE_BKCDN[[#This Row],[SOLD]]</f>
        <v>0</v>
      </c>
      <c r="AI65" s="1118" t="str">
        <f t="shared" ca="1" si="29"/>
        <v/>
      </c>
      <c r="AJ65" s="1119" t="str">
        <f>IF(E65="S", DATEDIF(_xlfn.MAXIFS($F$10:F65, $D$10:D65, D65, $AB$10:AB65, "&gt;0"), F65, "d"), "")</f>
        <v/>
      </c>
      <c r="AK65" s="1118" t="str">
        <f>IF(O65="H",DE_BKCDN[[#This Row],[DATE]],"")</f>
        <v/>
      </c>
      <c r="AL65" s="1120" t="str">
        <f t="shared" si="32"/>
        <v/>
      </c>
      <c r="AM65" s="1121">
        <f t="shared" si="33"/>
        <v>0</v>
      </c>
      <c r="AN65" s="1122">
        <v>0</v>
      </c>
      <c r="AO65" s="1122">
        <f>IFERROR(DE_BKCDN[[#This Row],[MKT]]*DE_BKCDN[[#This Row],[HOLDINGS]],0)</f>
        <v>0</v>
      </c>
      <c r="AP65" s="1123" t="str">
        <f t="shared" si="26"/>
        <v xml:space="preserve"> </v>
      </c>
      <c r="AQ65" s="159" t="s">
        <v>0</v>
      </c>
      <c r="AR65" s="159"/>
    </row>
    <row r="66" spans="1:44" s="179" customFormat="1" ht="15.75" customHeight="1">
      <c r="A66" s="177"/>
      <c r="B66" s="1176">
        <v>159</v>
      </c>
      <c r="C66" s="194" t="str">
        <f t="shared" si="27"/>
        <v>BK-CDN</v>
      </c>
      <c r="D66" s="178" t="s">
        <v>959</v>
      </c>
      <c r="E66" s="179" t="s">
        <v>34</v>
      </c>
      <c r="F66" s="180">
        <v>45807</v>
      </c>
      <c r="G66" s="1096" t="str">
        <f t="shared" si="14"/>
        <v xml:space="preserve"> </v>
      </c>
      <c r="H66" s="182">
        <v>0</v>
      </c>
      <c r="I66" s="183"/>
      <c r="J66" s="184">
        <v>10.199999999999999</v>
      </c>
      <c r="K66" s="1095">
        <f t="shared" si="28"/>
        <v>-5448.5899999999983</v>
      </c>
      <c r="L66" s="1100" t="str" cm="1">
        <f t="array" ref="L66">IFERROR(INDEX(M_TRX_TYPE[#Data], U66, MATCH($C$5,M_TRX_TYPE[#Headers], 0)), "")</f>
        <v>4460 Dividends Cdn</v>
      </c>
      <c r="M66" s="1102" t="str">
        <f t="shared" si="15"/>
        <v/>
      </c>
      <c r="N66" s="1103">
        <f>IF((O66="H"),(MAX($N$8:N65)+1),0)</f>
        <v>0</v>
      </c>
      <c r="O66" s="1204" t="str">
        <f t="shared" si="16"/>
        <v/>
      </c>
      <c r="P66" s="1105" cm="1">
        <f t="array" ref="P66">MAX(IF($D$10:$D$84=D66, $S$10:$S$84))</f>
        <v>1</v>
      </c>
      <c r="Q66" s="1106">
        <f>IF((E66="B"),(MAX($Q$6:Q65)+1),0)</f>
        <v>0</v>
      </c>
      <c r="R66" s="1106">
        <f>IF((AG66&lt;0),(MAX($R$8:$R65)+1),0)</f>
        <v>0</v>
      </c>
      <c r="S66" s="1086">
        <f>IF((M66=""),0,COUNTIF($M$8:M66,M66))</f>
        <v>0</v>
      </c>
      <c r="T66" s="1086" t="str">
        <f>IFERROR(MATCH(M66,M_SYMBOL[SYMBOL],0),"")</f>
        <v/>
      </c>
      <c r="U66" s="1070">
        <f>IFERROR(MATCH(E66,M_TRX_TYPE[TYPE],0),"")</f>
        <v>7</v>
      </c>
      <c r="V66" s="1107">
        <f t="shared" si="17"/>
        <v>0</v>
      </c>
      <c r="W66" s="1095">
        <f t="shared" si="18"/>
        <v>0</v>
      </c>
      <c r="X66" s="1108">
        <f t="shared" si="19"/>
        <v>-10.199999999999999</v>
      </c>
      <c r="Y66" s="1109">
        <f>IF(S66=1,0,IF(M66="",0,IF(S66&gt;1,(SUMIF($M$8:Z65,M66,$Z$8:Z65))+(SUMIF($M$8:Z65,M66,$AA$8:AA65)),0)))</f>
        <v>0</v>
      </c>
      <c r="Z66" s="1110">
        <f t="shared" si="20"/>
        <v>0</v>
      </c>
      <c r="AA66" s="1111">
        <f t="shared" si="21"/>
        <v>0</v>
      </c>
      <c r="AB66" s="1112">
        <f>DE_BKCDN[[#This Row],[PREVIOUS
UNITS]]+DE_BKCDN[[#This Row],[SHARES
BOUGHT]]+DE_BKCDN[[#This Row],[SHARES 
SOLD]]</f>
        <v>0</v>
      </c>
      <c r="AC66" s="1113">
        <f>IF(S66=1,0,IF(M66="",0,IF(S66&gt;1,SUMIF($M$8:AE65,M66,$AE$8:AE65)+SUMIF($M$8:AE65,M66,$AD$8:AD65),0)))</f>
        <v>0</v>
      </c>
      <c r="AD66" s="1114">
        <f t="shared" si="22"/>
        <v>0</v>
      </c>
      <c r="AE66" s="1115">
        <f t="shared" si="23"/>
        <v>0</v>
      </c>
      <c r="AF66" s="1116">
        <f t="shared" si="24"/>
        <v>0</v>
      </c>
      <c r="AG66" s="1117">
        <f t="shared" si="25"/>
        <v>0</v>
      </c>
      <c r="AH66" s="1115">
        <f>DE_BKCDN[[#This Row],[PROCEEDS]]-DE_BKCDN[[#This Row],[SOLD]]</f>
        <v>0</v>
      </c>
      <c r="AI66" s="1118" t="str">
        <f t="shared" si="29"/>
        <v/>
      </c>
      <c r="AJ66" s="1119" t="str">
        <f>IF(E66="S", DATEDIF(_xlfn.MAXIFS($F$10:F66, $D$10:D66, D66, $AB$10:AB66, "&gt;0"), F66, "d"), "")</f>
        <v/>
      </c>
      <c r="AK66" s="1118" t="str">
        <f>IF(O66="H",DE_BKCDN[[#This Row],[DATE]],"")</f>
        <v/>
      </c>
      <c r="AL66" s="1120" t="str">
        <f t="shared" si="32"/>
        <v/>
      </c>
      <c r="AM66" s="1121">
        <f t="shared" si="33"/>
        <v>0</v>
      </c>
      <c r="AN66" s="1122">
        <v>0</v>
      </c>
      <c r="AO66" s="1122">
        <f>IFERROR(DE_BKCDN[[#This Row],[MKT]]*DE_BKCDN[[#This Row],[HOLDINGS]],0)</f>
        <v>0</v>
      </c>
      <c r="AP66" s="1123">
        <f t="shared" si="26"/>
        <v>10.199999999999999</v>
      </c>
      <c r="AQ66" s="159" t="s">
        <v>0</v>
      </c>
      <c r="AR66" s="159"/>
    </row>
    <row r="67" spans="1:44" s="179" customFormat="1" ht="15.75" customHeight="1">
      <c r="A67" s="177"/>
      <c r="B67" s="1176">
        <v>160</v>
      </c>
      <c r="C67" s="194" t="str">
        <f t="shared" si="27"/>
        <v>BK-CDN</v>
      </c>
      <c r="D67" s="178" t="s">
        <v>943</v>
      </c>
      <c r="E67" s="179" t="s">
        <v>3</v>
      </c>
      <c r="F67" s="180">
        <v>45807</v>
      </c>
      <c r="G67" s="1096">
        <f t="shared" si="14"/>
        <v>51.87</v>
      </c>
      <c r="H67" s="182">
        <v>2</v>
      </c>
      <c r="I67" s="183"/>
      <c r="J67" s="184">
        <v>-103.74</v>
      </c>
      <c r="K67" s="1095">
        <f t="shared" si="28"/>
        <v>-5552.3299999999981</v>
      </c>
      <c r="L67" s="1100" t="str" cm="1">
        <f t="array" ref="L67">IFERROR(INDEX(M_TRX_TYPE[#Data], U67, MATCH($C$5,M_TRX_TYPE[#Headers], 0)), "")</f>
        <v>1131 Broker CDN Securities</v>
      </c>
      <c r="M67" s="1102" t="str">
        <f t="shared" si="15"/>
        <v>GWO</v>
      </c>
      <c r="N67" s="1103">
        <f>IF((O67="H"),(MAX($N$8:N66)+1),0)</f>
        <v>0</v>
      </c>
      <c r="O67" s="1204" t="str">
        <f t="shared" si="16"/>
        <v/>
      </c>
      <c r="P67" s="1105" cm="1">
        <f t="array" ref="P67">MAX(IF($D$10:$D$84=D67, $S$10:$S$84))</f>
        <v>2</v>
      </c>
      <c r="Q67" s="1106">
        <f>IF((E67="B"),(MAX($Q$6:Q66)+1),0)</f>
        <v>18</v>
      </c>
      <c r="R67" s="1106">
        <f>IF((AG67&lt;0),(MAX($R$8:$R66)+1),0)</f>
        <v>0</v>
      </c>
      <c r="S67" s="1086">
        <f>IF((M67=""),0,COUNTIF($M$8:M67,M67))</f>
        <v>2</v>
      </c>
      <c r="T67" s="1086">
        <f>IFERROR(MATCH(M67,M_SYMBOL[SYMBOL],0),"")</f>
        <v>111</v>
      </c>
      <c r="U67" s="1070">
        <f>IFERROR(MATCH(E67,M_TRX_TYPE[TYPE],0),"")</f>
        <v>3</v>
      </c>
      <c r="V67" s="1107">
        <f t="shared" si="17"/>
        <v>0</v>
      </c>
      <c r="W67" s="1095">
        <f t="shared" si="18"/>
        <v>0</v>
      </c>
      <c r="X67" s="1108">
        <f t="shared" si="19"/>
        <v>103.74</v>
      </c>
      <c r="Y67" s="1109">
        <f ca="1">IF(S67=1,0,IF(M67="",0,IF(S67&gt;1,(SUMIF($M$8:Z66,M67,$Z$8:Z66))+(SUMIF($M$8:Z66,M67,$AA$8:AA66)),0)))</f>
        <v>200</v>
      </c>
      <c r="Z67" s="1110">
        <f t="shared" si="20"/>
        <v>2</v>
      </c>
      <c r="AA67" s="1111">
        <f t="shared" si="21"/>
        <v>0</v>
      </c>
      <c r="AB67" s="1112">
        <f ca="1">DE_BKCDN[[#This Row],[PREVIOUS
UNITS]]+DE_BKCDN[[#This Row],[SHARES
BOUGHT]]+DE_BKCDN[[#This Row],[SHARES 
SOLD]]</f>
        <v>202</v>
      </c>
      <c r="AC67" s="1113">
        <f ca="1">IF(S67=1,0,IF(M67="",0,IF(S67&gt;1,SUMIF($M$8:AE66,M67,$AE$8:AE66)+SUMIF($M$8:AE66,M67,$AD$8:AD66),0)))</f>
        <v>10423.99</v>
      </c>
      <c r="AD67" s="1114">
        <f t="shared" si="22"/>
        <v>103.74</v>
      </c>
      <c r="AE67" s="1115">
        <f t="shared" si="23"/>
        <v>0</v>
      </c>
      <c r="AF67" s="1116">
        <f t="shared" ca="1" si="24"/>
        <v>10527.73</v>
      </c>
      <c r="AG67" s="1117">
        <f t="shared" si="25"/>
        <v>0</v>
      </c>
      <c r="AH67" s="1115">
        <f>DE_BKCDN[[#This Row],[PROCEEDS]]-DE_BKCDN[[#This Row],[SOLD]]</f>
        <v>0</v>
      </c>
      <c r="AI67" s="1118">
        <f t="shared" ca="1" si="29"/>
        <v>45807</v>
      </c>
      <c r="AJ67" s="1119" t="str">
        <f>IF(E67="S", DATEDIF(_xlfn.MAXIFS($F$10:F67, $D$10:D67, D67, $AB$10:AB67, "&gt;0"), F67, "d"), "")</f>
        <v/>
      </c>
      <c r="AK67" s="1118" t="str">
        <f>IF(O67="H",DE_BKCDN[[#This Row],[DATE]],"")</f>
        <v/>
      </c>
      <c r="AL67" s="1120" t="str">
        <f t="shared" si="32"/>
        <v/>
      </c>
      <c r="AM67" s="1121">
        <f t="shared" si="33"/>
        <v>0</v>
      </c>
      <c r="AN67" s="1122">
        <v>0</v>
      </c>
      <c r="AO67" s="1122">
        <f>IFERROR(DE_BKCDN[[#This Row],[MKT]]*DE_BKCDN[[#This Row],[HOLDINGS]],0)</f>
        <v>0</v>
      </c>
      <c r="AP67" s="1123" t="str">
        <f t="shared" si="26"/>
        <v xml:space="preserve"> </v>
      </c>
      <c r="AQ67" s="159" t="s">
        <v>0</v>
      </c>
      <c r="AR67" s="159"/>
    </row>
    <row r="68" spans="1:44" s="179" customFormat="1" ht="15.75" customHeight="1">
      <c r="A68" s="177"/>
      <c r="B68" s="1176">
        <v>161</v>
      </c>
      <c r="C68" s="194" t="str">
        <f t="shared" si="27"/>
        <v>BK-CDN</v>
      </c>
      <c r="D68" s="178" t="s">
        <v>943</v>
      </c>
      <c r="E68" s="179" t="s">
        <v>34</v>
      </c>
      <c r="F68" s="180">
        <v>45807</v>
      </c>
      <c r="G68" s="1096" t="str">
        <f t="shared" si="14"/>
        <v xml:space="preserve"> </v>
      </c>
      <c r="H68" s="182">
        <v>0</v>
      </c>
      <c r="I68" s="183"/>
      <c r="J68" s="184">
        <v>122</v>
      </c>
      <c r="K68" s="1095">
        <f t="shared" si="28"/>
        <v>-5430.3299999999981</v>
      </c>
      <c r="L68" s="1100" t="str" cm="1">
        <f t="array" ref="L68">IFERROR(INDEX(M_TRX_TYPE[#Data], U68, MATCH($C$5,M_TRX_TYPE[#Headers], 0)), "")</f>
        <v>4460 Dividends Cdn</v>
      </c>
      <c r="M68" s="1102" t="str">
        <f t="shared" si="15"/>
        <v/>
      </c>
      <c r="N68" s="1103">
        <f>IF((O68="H"),(MAX($N$8:N67)+1),0)</f>
        <v>0</v>
      </c>
      <c r="O68" s="1204" t="str">
        <f t="shared" si="16"/>
        <v/>
      </c>
      <c r="P68" s="1105" cm="1">
        <f t="array" ref="P68">MAX(IF($D$10:$D$84=D68, $S$10:$S$84))</f>
        <v>2</v>
      </c>
      <c r="Q68" s="1106">
        <f>IF((E68="B"),(MAX($Q$6:Q67)+1),0)</f>
        <v>0</v>
      </c>
      <c r="R68" s="1106">
        <f>IF((AG68&lt;0),(MAX($R$8:$R67)+1),0)</f>
        <v>0</v>
      </c>
      <c r="S68" s="1086">
        <f>IF((M68=""),0,COUNTIF($M$8:M68,M68))</f>
        <v>0</v>
      </c>
      <c r="T68" s="1086" t="str">
        <f>IFERROR(MATCH(M68,M_SYMBOL[SYMBOL],0),"")</f>
        <v/>
      </c>
      <c r="U68" s="1070">
        <f>IFERROR(MATCH(E68,M_TRX_TYPE[TYPE],0),"")</f>
        <v>7</v>
      </c>
      <c r="V68" s="1107">
        <f t="shared" si="17"/>
        <v>0</v>
      </c>
      <c r="W68" s="1095">
        <f t="shared" si="18"/>
        <v>0</v>
      </c>
      <c r="X68" s="1108">
        <f t="shared" si="19"/>
        <v>-122</v>
      </c>
      <c r="Y68" s="1109">
        <f>IF(S68=1,0,IF(M68="",0,IF(S68&gt;1,(SUMIF($M$8:Z67,M68,$Z$8:Z67))+(SUMIF($M$8:Z67,M68,$AA$8:AA67)),0)))</f>
        <v>0</v>
      </c>
      <c r="Z68" s="1110">
        <f t="shared" si="20"/>
        <v>0</v>
      </c>
      <c r="AA68" s="1111">
        <f t="shared" si="21"/>
        <v>0</v>
      </c>
      <c r="AB68" s="1112">
        <f>DE_BKCDN[[#This Row],[PREVIOUS
UNITS]]+DE_BKCDN[[#This Row],[SHARES
BOUGHT]]+DE_BKCDN[[#This Row],[SHARES 
SOLD]]</f>
        <v>0</v>
      </c>
      <c r="AC68" s="1113">
        <f>IF(S68=1,0,IF(M68="",0,IF(S68&gt;1,SUMIF($M$8:AE67,M68,$AE$8:AE67)+SUMIF($M$8:AE67,M68,$AD$8:AD67),0)))</f>
        <v>0</v>
      </c>
      <c r="AD68" s="1114">
        <f t="shared" si="22"/>
        <v>0</v>
      </c>
      <c r="AE68" s="1115">
        <f t="shared" si="23"/>
        <v>0</v>
      </c>
      <c r="AF68" s="1116">
        <f t="shared" si="24"/>
        <v>0</v>
      </c>
      <c r="AG68" s="1117">
        <f t="shared" si="25"/>
        <v>0</v>
      </c>
      <c r="AH68" s="1115">
        <f>DE_BKCDN[[#This Row],[PROCEEDS]]-DE_BKCDN[[#This Row],[SOLD]]</f>
        <v>0</v>
      </c>
      <c r="AI68" s="1118" t="str">
        <f t="shared" si="29"/>
        <v/>
      </c>
      <c r="AJ68" s="1119" t="str">
        <f>IF(E68="S", DATEDIF(_xlfn.MAXIFS($F$10:F68, $D$10:D68, D68, $AB$10:AB68, "&gt;0"), F68, "d"), "")</f>
        <v/>
      </c>
      <c r="AK68" s="1118" t="str">
        <f>IF(O68="H",DE_BKCDN[[#This Row],[DATE]],"")</f>
        <v/>
      </c>
      <c r="AL68" s="1120" t="str">
        <f t="shared" si="32"/>
        <v/>
      </c>
      <c r="AM68" s="1121">
        <f t="shared" si="33"/>
        <v>0</v>
      </c>
      <c r="AN68" s="1122">
        <v>0</v>
      </c>
      <c r="AO68" s="1122">
        <f>IFERROR(DE_BKCDN[[#This Row],[MKT]]*DE_BKCDN[[#This Row],[HOLDINGS]],0)</f>
        <v>0</v>
      </c>
      <c r="AP68" s="1123">
        <f t="shared" si="26"/>
        <v>122</v>
      </c>
      <c r="AQ68" s="159" t="s">
        <v>0</v>
      </c>
      <c r="AR68" s="159"/>
    </row>
    <row r="69" spans="1:44" s="179" customFormat="1" ht="15.75" customHeight="1">
      <c r="A69" s="177"/>
      <c r="B69" s="1176">
        <v>162</v>
      </c>
      <c r="C69" s="194" t="str">
        <f t="shared" si="27"/>
        <v>BK-CDN</v>
      </c>
      <c r="D69" s="178" t="s">
        <v>955</v>
      </c>
      <c r="E69" s="179" t="s">
        <v>34</v>
      </c>
      <c r="F69" s="180">
        <v>45807</v>
      </c>
      <c r="G69" s="1096" t="str">
        <f t="shared" si="14"/>
        <v xml:space="preserve"> </v>
      </c>
      <c r="H69" s="182">
        <v>0</v>
      </c>
      <c r="I69" s="183"/>
      <c r="J69" s="184">
        <v>16.899999999999999</v>
      </c>
      <c r="K69" s="1095">
        <f t="shared" si="28"/>
        <v>-5413.4299999999985</v>
      </c>
      <c r="L69" s="1100" t="str" cm="1">
        <f t="array" ref="L69">IFERROR(INDEX(M_TRX_TYPE[#Data], U69, MATCH($C$5,M_TRX_TYPE[#Headers], 0)), "")</f>
        <v>4460 Dividends Cdn</v>
      </c>
      <c r="M69" s="1102" t="str">
        <f t="shared" si="15"/>
        <v/>
      </c>
      <c r="N69" s="1103">
        <f>IF((O69="H"),(MAX($N$8:N68)+1),0)</f>
        <v>0</v>
      </c>
      <c r="O69" s="1204" t="str">
        <f t="shared" si="16"/>
        <v/>
      </c>
      <c r="P69" s="1105" cm="1">
        <f t="array" ref="P69">MAX(IF($D$10:$D$84=D69, $S$10:$S$84))</f>
        <v>1</v>
      </c>
      <c r="Q69" s="1106">
        <f>IF((E69="B"),(MAX($Q$6:Q68)+1),0)</f>
        <v>0</v>
      </c>
      <c r="R69" s="1106">
        <f>IF((AG69&lt;0),(MAX($R$8:$R68)+1),0)</f>
        <v>0</v>
      </c>
      <c r="S69" s="1086">
        <f>IF((M69=""),0,COUNTIF($M$8:M69,M69))</f>
        <v>0</v>
      </c>
      <c r="T69" s="1086" t="str">
        <f>IFERROR(MATCH(M69,M_SYMBOL[SYMBOL],0),"")</f>
        <v/>
      </c>
      <c r="U69" s="1070">
        <f>IFERROR(MATCH(E69,M_TRX_TYPE[TYPE],0),"")</f>
        <v>7</v>
      </c>
      <c r="V69" s="1107">
        <f t="shared" si="17"/>
        <v>0</v>
      </c>
      <c r="W69" s="1095">
        <f t="shared" si="18"/>
        <v>0</v>
      </c>
      <c r="X69" s="1108">
        <f t="shared" si="19"/>
        <v>-16.899999999999999</v>
      </c>
      <c r="Y69" s="1109">
        <f>IF(S69=1,0,IF(M69="",0,IF(S69&gt;1,(SUMIF($M$8:Z68,M69,$Z$8:Z68))+(SUMIF($M$8:Z68,M69,$AA$8:AA68)),0)))</f>
        <v>0</v>
      </c>
      <c r="Z69" s="1110">
        <f t="shared" si="20"/>
        <v>0</v>
      </c>
      <c r="AA69" s="1111">
        <f t="shared" si="21"/>
        <v>0</v>
      </c>
      <c r="AB69" s="1112">
        <f>DE_BKCDN[[#This Row],[PREVIOUS
UNITS]]+DE_BKCDN[[#This Row],[SHARES
BOUGHT]]+DE_BKCDN[[#This Row],[SHARES 
SOLD]]</f>
        <v>0</v>
      </c>
      <c r="AC69" s="1113">
        <f>IF(S69=1,0,IF(M69="",0,IF(S69&gt;1,SUMIF($M$8:AE68,M69,$AE$8:AE68)+SUMIF($M$8:AE68,M69,$AD$8:AD68),0)))</f>
        <v>0</v>
      </c>
      <c r="AD69" s="1114">
        <f t="shared" si="22"/>
        <v>0</v>
      </c>
      <c r="AE69" s="1115">
        <f t="shared" si="23"/>
        <v>0</v>
      </c>
      <c r="AF69" s="1116">
        <f t="shared" si="24"/>
        <v>0</v>
      </c>
      <c r="AG69" s="1117">
        <f t="shared" si="25"/>
        <v>0</v>
      </c>
      <c r="AH69" s="1115">
        <f>DE_BKCDN[[#This Row],[PROCEEDS]]-DE_BKCDN[[#This Row],[SOLD]]</f>
        <v>0</v>
      </c>
      <c r="AI69" s="1118" t="str">
        <f t="shared" si="29"/>
        <v/>
      </c>
      <c r="AJ69" s="1119" t="str">
        <f>IF(E69="S", DATEDIF(_xlfn.MAXIFS($F$10:F69, $D$10:D69, D69, $AB$10:AB69, "&gt;0"), F69, "d"), "")</f>
        <v/>
      </c>
      <c r="AK69" s="1118" t="str">
        <f>IF(O69="H",DE_BKCDN[[#This Row],[DATE]],"")</f>
        <v/>
      </c>
      <c r="AL69" s="1120" t="str">
        <f t="shared" si="32"/>
        <v/>
      </c>
      <c r="AM69" s="1121">
        <f t="shared" si="33"/>
        <v>0</v>
      </c>
      <c r="AN69" s="1122">
        <v>0</v>
      </c>
      <c r="AO69" s="1122">
        <f>IFERROR(DE_BKCDN[[#This Row],[MKT]]*DE_BKCDN[[#This Row],[HOLDINGS]],0)</f>
        <v>0</v>
      </c>
      <c r="AP69" s="1123">
        <f t="shared" si="26"/>
        <v>16.899999999999999</v>
      </c>
      <c r="AQ69" s="159" t="s">
        <v>0</v>
      </c>
      <c r="AR69" s="159"/>
    </row>
    <row r="70" spans="1:44" s="179" customFormat="1" ht="15.75" customHeight="1">
      <c r="A70" s="177"/>
      <c r="B70" s="1176">
        <v>163</v>
      </c>
      <c r="C70" s="194" t="str">
        <f t="shared" si="27"/>
        <v>BK-CDN</v>
      </c>
      <c r="D70" s="178" t="s">
        <v>934</v>
      </c>
      <c r="E70" s="179" t="s">
        <v>3</v>
      </c>
      <c r="F70" s="180">
        <v>45807</v>
      </c>
      <c r="G70" s="1096">
        <f t="shared" si="14"/>
        <v>18.420000000000002</v>
      </c>
      <c r="H70" s="182">
        <v>1</v>
      </c>
      <c r="I70" s="183"/>
      <c r="J70" s="184">
        <v>-18.420000000000002</v>
      </c>
      <c r="K70" s="1095">
        <f t="shared" si="28"/>
        <v>-5431.8499999999985</v>
      </c>
      <c r="L70" s="1100" t="str" cm="1">
        <f t="array" ref="L70">IFERROR(INDEX(M_TRX_TYPE[#Data], U70, MATCH($C$5,M_TRX_TYPE[#Headers], 0)), "")</f>
        <v>1131 Broker CDN Securities</v>
      </c>
      <c r="M70" s="1102" t="str">
        <f t="shared" si="15"/>
        <v>FCR.UN</v>
      </c>
      <c r="N70" s="1103">
        <f>IF((O70="H"),(MAX($N$8:N69)+1),0)</f>
        <v>0</v>
      </c>
      <c r="O70" s="1204" t="str">
        <f t="shared" si="16"/>
        <v/>
      </c>
      <c r="P70" s="1105" cm="1">
        <f t="array" ref="P70">MAX(IF($D$10:$D$84=D70, $S$10:$S$84))</f>
        <v>3</v>
      </c>
      <c r="Q70" s="1106">
        <f>IF((E70="B"),(MAX($Q$6:Q69)+1),0)</f>
        <v>19</v>
      </c>
      <c r="R70" s="1106">
        <f>IF((AG70&lt;0),(MAX($R$8:$R69)+1),0)</f>
        <v>0</v>
      </c>
      <c r="S70" s="1086">
        <f>IF((M70=""),0,COUNTIF($M$8:M70,M70))</f>
        <v>3</v>
      </c>
      <c r="T70" s="1086">
        <f>IFERROR(MATCH(M70,M_SYMBOL[SYMBOL],0),"")</f>
        <v>100</v>
      </c>
      <c r="U70" s="1070">
        <f>IFERROR(MATCH(E70,M_TRX_TYPE[TYPE],0),"")</f>
        <v>3</v>
      </c>
      <c r="V70" s="1107">
        <f t="shared" si="17"/>
        <v>0</v>
      </c>
      <c r="W70" s="1095">
        <f t="shared" si="18"/>
        <v>0</v>
      </c>
      <c r="X70" s="1108">
        <f t="shared" si="19"/>
        <v>18.420000000000002</v>
      </c>
      <c r="Y70" s="1109">
        <f ca="1">IF(S70=1,0,IF(M70="",0,IF(S70&gt;1,(SUMIF($M$8:Z69,M70,$Z$8:Z69))+(SUMIF($M$8:Z69,M70,$AA$8:AA69)),0)))</f>
        <v>401</v>
      </c>
      <c r="Z70" s="1110">
        <f t="shared" si="20"/>
        <v>1</v>
      </c>
      <c r="AA70" s="1111">
        <f t="shared" si="21"/>
        <v>0</v>
      </c>
      <c r="AB70" s="1112">
        <f ca="1">DE_BKCDN[[#This Row],[PREVIOUS
UNITS]]+DE_BKCDN[[#This Row],[SHARES
BOUGHT]]+DE_BKCDN[[#This Row],[SHARES 
SOLD]]</f>
        <v>402</v>
      </c>
      <c r="AC70" s="1113">
        <f ca="1">IF(S70=1,0,IF(M70="",0,IF(S70&gt;1,SUMIF($M$8:AE69,M70,$AE$8:AE69)+SUMIF($M$8:AE69,M70,$AD$8:AD69),0)))</f>
        <v>7035.76</v>
      </c>
      <c r="AD70" s="1114">
        <f t="shared" si="22"/>
        <v>18.420000000000002</v>
      </c>
      <c r="AE70" s="1115">
        <f t="shared" si="23"/>
        <v>0</v>
      </c>
      <c r="AF70" s="1116">
        <f t="shared" ca="1" si="24"/>
        <v>7054.18</v>
      </c>
      <c r="AG70" s="1117">
        <f t="shared" si="25"/>
        <v>0</v>
      </c>
      <c r="AH70" s="1115">
        <f>DE_BKCDN[[#This Row],[PROCEEDS]]-DE_BKCDN[[#This Row],[SOLD]]</f>
        <v>0</v>
      </c>
      <c r="AI70" s="1118">
        <f t="shared" ca="1" si="29"/>
        <v>45807</v>
      </c>
      <c r="AJ70" s="1119" t="str">
        <f>IF(E70="S", DATEDIF(_xlfn.MAXIFS($F$10:F70, $D$10:D70, D70, $AB$10:AB70, "&gt;0"), F70, "d"), "")</f>
        <v/>
      </c>
      <c r="AK70" s="1118" t="str">
        <f>IF(O70="H",DE_BKCDN[[#This Row],[DATE]],"")</f>
        <v/>
      </c>
      <c r="AL70" s="1120" t="str">
        <f t="shared" si="32"/>
        <v/>
      </c>
      <c r="AM70" s="1121">
        <f t="shared" si="33"/>
        <v>0</v>
      </c>
      <c r="AN70" s="1122">
        <v>0</v>
      </c>
      <c r="AO70" s="1122">
        <f>IFERROR(DE_BKCDN[[#This Row],[MKT]]*DE_BKCDN[[#This Row],[HOLDINGS]],0)</f>
        <v>0</v>
      </c>
      <c r="AP70" s="1123" t="str">
        <f t="shared" si="26"/>
        <v xml:space="preserve"> </v>
      </c>
      <c r="AQ70" s="159" t="s">
        <v>0</v>
      </c>
      <c r="AR70" s="159"/>
    </row>
    <row r="71" spans="1:44" s="179" customFormat="1" ht="15.75" customHeight="1">
      <c r="A71" s="177"/>
      <c r="B71" s="1176">
        <v>164</v>
      </c>
      <c r="C71" s="194" t="str">
        <f t="shared" si="27"/>
        <v>BK-CDN</v>
      </c>
      <c r="D71" s="178" t="s">
        <v>934</v>
      </c>
      <c r="E71" s="179" t="s">
        <v>34</v>
      </c>
      <c r="F71" s="180">
        <v>45807</v>
      </c>
      <c r="G71" s="1096" t="str">
        <f t="shared" si="14"/>
        <v xml:space="preserve"> </v>
      </c>
      <c r="H71" s="182">
        <v>0</v>
      </c>
      <c r="I71" s="183"/>
      <c r="J71" s="184">
        <v>29.74</v>
      </c>
      <c r="K71" s="1095">
        <f t="shared" si="28"/>
        <v>-5402.1099999999988</v>
      </c>
      <c r="L71" s="1100" t="str" cm="1">
        <f t="array" ref="L71">IFERROR(INDEX(M_TRX_TYPE[#Data], U71, MATCH($C$5,M_TRX_TYPE[#Headers], 0)), "")</f>
        <v>4460 Dividends Cdn</v>
      </c>
      <c r="M71" s="1102" t="str">
        <f t="shared" ref="M71:M82" si="34">IF(OR(E71="O",E71="B",E71="S"),D71,"")</f>
        <v/>
      </c>
      <c r="N71" s="1103">
        <f>IF((O71="H"),(MAX($N$8:N70)+1),0)</f>
        <v>0</v>
      </c>
      <c r="O71" s="1204" t="str">
        <f t="shared" si="16"/>
        <v/>
      </c>
      <c r="P71" s="1105" cm="1">
        <f t="array" ref="P71">MAX(IF($D$10:$D$84=D71, $S$10:$S$84))</f>
        <v>3</v>
      </c>
      <c r="Q71" s="1106">
        <f>IF((E71="B"),(MAX($Q$6:Q70)+1),0)</f>
        <v>0</v>
      </c>
      <c r="R71" s="1106">
        <f>IF((AG71&lt;0),(MAX($R$8:$R70)+1),0)</f>
        <v>0</v>
      </c>
      <c r="S71" s="1086">
        <f>IF((M71=""),0,COUNTIF($M$8:M71,M71))</f>
        <v>0</v>
      </c>
      <c r="T71" s="1086" t="str">
        <f>IFERROR(MATCH(M71,M_SYMBOL[SYMBOL],0),"")</f>
        <v/>
      </c>
      <c r="U71" s="1070">
        <f>IFERROR(MATCH(E71,M_TRX_TYPE[TYPE],0),"")</f>
        <v>7</v>
      </c>
      <c r="V71" s="1107">
        <f t="shared" ref="V71:V82" si="35">IF((E71="O"),H71,0)</f>
        <v>0</v>
      </c>
      <c r="W71" s="1095">
        <f t="shared" ref="W71:W82" si="36">IF((E71="O"),J71,IF(E71="OC",J71,0))</f>
        <v>0</v>
      </c>
      <c r="X71" s="1108">
        <f t="shared" ref="X71:X82" si="37">IF(OR(E71="O",E71="OC"),0,J71*-1)</f>
        <v>-29.74</v>
      </c>
      <c r="Y71" s="1109">
        <f>IF(S71=1,0,IF(M71="",0,IF(S71&gt;1,(SUMIF($M$8:Z70,M71,$Z$8:Z70))+(SUMIF($M$8:Z70,M71,$AA$8:AA70)),0)))</f>
        <v>0</v>
      </c>
      <c r="Z71" s="1110">
        <f t="shared" ref="Z71:Z82" si="38">IF(E71="B",H71,IF(E71="O",H71,0))</f>
        <v>0</v>
      </c>
      <c r="AA71" s="1111">
        <f t="shared" ref="AA71:AA82" si="39">IF(E71="S",H71,0)</f>
        <v>0</v>
      </c>
      <c r="AB71" s="1112">
        <f>DE_BKCDN[[#This Row],[PREVIOUS
UNITS]]+DE_BKCDN[[#This Row],[SHARES
BOUGHT]]+DE_BKCDN[[#This Row],[SHARES 
SOLD]]</f>
        <v>0</v>
      </c>
      <c r="AC71" s="1113">
        <f>IF(S71=1,0,IF(M71="",0,IF(S71&gt;1,SUMIF($M$8:AE70,M71,$AE$8:AE70)+SUMIF($M$8:AE70,M71,$AD$8:AD70),0)))</f>
        <v>0</v>
      </c>
      <c r="AD71" s="1114">
        <f t="shared" ref="AD71:AD82" si="40">IF(M71="",0,IF(OR(E71="B",E71="O"),J71*-1,0))</f>
        <v>0</v>
      </c>
      <c r="AE71" s="1115">
        <f t="shared" ref="AE71:AE82" si="41">IF(E71="S",(AC71/Y71)*H71,0)</f>
        <v>0</v>
      </c>
      <c r="AF71" s="1116">
        <f t="shared" ref="AF71:AF82" si="42">AC71+AD71+AE71</f>
        <v>0</v>
      </c>
      <c r="AG71" s="1117">
        <f t="shared" ref="AG71:AG82" si="43">IF(M71="",0,IF(OR(E71="S"),J71*-1,0))</f>
        <v>0</v>
      </c>
      <c r="AH71" s="1115">
        <f>DE_BKCDN[[#This Row],[PROCEEDS]]-DE_BKCDN[[#This Row],[SOLD]]</f>
        <v>0</v>
      </c>
      <c r="AI71" s="1118" t="str">
        <f t="shared" ref="AI71:AI84" si="44">IF(AB71=0, IF(AND(OR(E71="B", E71="O"), D71=D70), F71, ""), IF(F70="", F71, IF(D71=D70, AI70, F71)))</f>
        <v/>
      </c>
      <c r="AJ71" s="1119" t="str">
        <f>IF(E71="S", DATEDIF(_xlfn.MAXIFS($F$10:F71, $D$10:D71, D71, $AB$10:AB71, "&gt;0"), F71, "d"), "")</f>
        <v/>
      </c>
      <c r="AK71" s="1118" t="str">
        <f>IF(O71="H",DE_BKCDN[[#This Row],[DATE]],"")</f>
        <v/>
      </c>
      <c r="AL71" s="1120" t="str">
        <f t="shared" si="32"/>
        <v/>
      </c>
      <c r="AM71" s="1121">
        <f t="shared" si="33"/>
        <v>0</v>
      </c>
      <c r="AN71" s="1122">
        <v>0</v>
      </c>
      <c r="AO71" s="1122">
        <f>IFERROR(DE_BKCDN[[#This Row],[MKT]]*DE_BKCDN[[#This Row],[HOLDINGS]],0)</f>
        <v>0</v>
      </c>
      <c r="AP71" s="1123">
        <f t="shared" ref="AP71:AP82" si="45">IF(E71="D",J71," ")</f>
        <v>29.74</v>
      </c>
      <c r="AQ71" s="159" t="s">
        <v>0</v>
      </c>
      <c r="AR71" s="159"/>
    </row>
    <row r="72" spans="1:44" s="179" customFormat="1" ht="15.75" customHeight="1">
      <c r="A72" s="177"/>
      <c r="B72" s="1176">
        <v>165</v>
      </c>
      <c r="C72" s="194" t="str">
        <f t="shared" si="27"/>
        <v>BK-CDN</v>
      </c>
      <c r="D72" s="178" t="s">
        <v>0</v>
      </c>
      <c r="E72" s="179" t="s">
        <v>34</v>
      </c>
      <c r="F72" s="180">
        <v>45807</v>
      </c>
      <c r="G72" s="1096" t="str">
        <f t="shared" si="14"/>
        <v xml:space="preserve"> </v>
      </c>
      <c r="H72" s="182">
        <v>0</v>
      </c>
      <c r="I72" s="183"/>
      <c r="J72" s="184">
        <v>0</v>
      </c>
      <c r="K72" s="1095">
        <f t="shared" ref="K72:K83" si="46">IF((E72="O"),K71,(K71+J72))</f>
        <v>-5402.1099999999988</v>
      </c>
      <c r="L72" s="1100" t="str" cm="1">
        <f t="array" ref="L72">IFERROR(INDEX(M_TRX_TYPE[#Data], U72, MATCH($C$5,M_TRX_TYPE[#Headers], 0)), "")</f>
        <v>4460 Dividends Cdn</v>
      </c>
      <c r="M72" s="1102" t="str">
        <f t="shared" si="34"/>
        <v/>
      </c>
      <c r="N72" s="1103">
        <f>IF((O72="H"),(MAX($N$8:N71)+1),0)</f>
        <v>0</v>
      </c>
      <c r="O72" s="1204" t="str">
        <f t="shared" si="16"/>
        <v/>
      </c>
      <c r="P72" s="1105" cm="1">
        <f t="array" ref="P72">MAX(IF($D$10:$D$84=D72, $S$10:$S$84))</f>
        <v>0</v>
      </c>
      <c r="Q72" s="1106">
        <f>IF((E72="B"),(MAX($Q$6:Q71)+1),0)</f>
        <v>0</v>
      </c>
      <c r="R72" s="1106">
        <f>IF((AG72&lt;0),(MAX($R$8:$R71)+1),0)</f>
        <v>0</v>
      </c>
      <c r="S72" s="1086">
        <f>IF((M72=""),0,COUNTIF($M$8:M72,M72))</f>
        <v>0</v>
      </c>
      <c r="T72" s="1086" t="str">
        <f>IFERROR(MATCH(M72,M_SYMBOL[SYMBOL],0),"")</f>
        <v/>
      </c>
      <c r="U72" s="1070">
        <f>IFERROR(MATCH(E72,M_TRX_TYPE[TYPE],0),"")</f>
        <v>7</v>
      </c>
      <c r="V72" s="1107">
        <f t="shared" si="35"/>
        <v>0</v>
      </c>
      <c r="W72" s="1095">
        <f t="shared" si="36"/>
        <v>0</v>
      </c>
      <c r="X72" s="1108">
        <f t="shared" si="37"/>
        <v>0</v>
      </c>
      <c r="Y72" s="1109">
        <f>IF(S72=1,0,IF(M72="",0,IF(S72&gt;1,(SUMIF($M$8:Z71,M72,$Z$8:Z71))+(SUMIF($M$8:Z71,M72,$AA$8:AA71)),0)))</f>
        <v>0</v>
      </c>
      <c r="Z72" s="1110">
        <f t="shared" si="38"/>
        <v>0</v>
      </c>
      <c r="AA72" s="1111">
        <f t="shared" si="39"/>
        <v>0</v>
      </c>
      <c r="AB72" s="1112">
        <f>DE_BKCDN[[#This Row],[PREVIOUS
UNITS]]+DE_BKCDN[[#This Row],[SHARES
BOUGHT]]+DE_BKCDN[[#This Row],[SHARES 
SOLD]]</f>
        <v>0</v>
      </c>
      <c r="AC72" s="1113">
        <f>IF(S72=1,0,IF(M72="",0,IF(S72&gt;1,SUMIF($M$8:AE71,M72,$AE$8:AE71)+SUMIF($M$8:AE71,M72,$AD$8:AD71),0)))</f>
        <v>0</v>
      </c>
      <c r="AD72" s="1114">
        <f t="shared" si="40"/>
        <v>0</v>
      </c>
      <c r="AE72" s="1115">
        <f t="shared" si="41"/>
        <v>0</v>
      </c>
      <c r="AF72" s="1116">
        <f t="shared" si="42"/>
        <v>0</v>
      </c>
      <c r="AG72" s="1117">
        <f t="shared" si="43"/>
        <v>0</v>
      </c>
      <c r="AH72" s="1115">
        <f>DE_BKCDN[[#This Row],[PROCEEDS]]-DE_BKCDN[[#This Row],[SOLD]]</f>
        <v>0</v>
      </c>
      <c r="AI72" s="1118" t="str">
        <f t="shared" si="44"/>
        <v/>
      </c>
      <c r="AJ72" s="1119" t="str">
        <f>IF(E72="S", DATEDIF(_xlfn.MAXIFS($F$10:F72, $D$10:D72, D72, $AB$10:AB72, "&gt;0"), F72, "d"), "")</f>
        <v/>
      </c>
      <c r="AK72" s="1118" t="str">
        <f>IF(O72="H",DE_BKCDN[[#This Row],[DATE]],"")</f>
        <v/>
      </c>
      <c r="AL72" s="1120" t="str">
        <f t="shared" si="32"/>
        <v/>
      </c>
      <c r="AM72" s="1121">
        <f t="shared" si="33"/>
        <v>0</v>
      </c>
      <c r="AN72" s="1122">
        <v>0</v>
      </c>
      <c r="AO72" s="1122">
        <f>IFERROR(DE_BKCDN[[#This Row],[MKT]]*DE_BKCDN[[#This Row],[HOLDINGS]],0)</f>
        <v>0</v>
      </c>
      <c r="AP72" s="1123">
        <f t="shared" si="45"/>
        <v>0</v>
      </c>
      <c r="AQ72" s="159" t="s">
        <v>0</v>
      </c>
      <c r="AR72" s="159"/>
    </row>
    <row r="73" spans="1:44" s="179" customFormat="1" ht="15.75" customHeight="1">
      <c r="A73" s="177"/>
      <c r="B73" s="1176">
        <v>166</v>
      </c>
      <c r="C73" s="194" t="str">
        <f t="shared" si="27"/>
        <v>BK-CDN</v>
      </c>
      <c r="D73" s="178"/>
      <c r="F73" s="188"/>
      <c r="G73" s="1096"/>
      <c r="H73" s="182"/>
      <c r="I73" s="183"/>
      <c r="J73" s="184"/>
      <c r="K73" s="1095">
        <f t="shared" si="46"/>
        <v>-5402.1099999999988</v>
      </c>
      <c r="L73" s="1100" t="str" cm="1">
        <f t="array" ref="L73">IFERROR(INDEX(M_TRX_TYPE[#Data], U73, MATCH($C$5,M_TRX_TYPE[#Headers], 0)), "")</f>
        <v/>
      </c>
      <c r="M73" s="1102" t="str">
        <f t="shared" si="34"/>
        <v/>
      </c>
      <c r="N73" s="1103">
        <f>IF((O73="H"),(MAX($N$8:N72)+1),0)</f>
        <v>0</v>
      </c>
      <c r="O73" s="1204" t="str">
        <f t="shared" si="16"/>
        <v/>
      </c>
      <c r="P73" s="1105" cm="1">
        <f t="array" ref="P73">MAX(IF($D$10:$D$84=D73, $S$10:$S$84))</f>
        <v>0</v>
      </c>
      <c r="Q73" s="1106">
        <f>IF((E73="B"),(MAX($Q$6:Q72)+1),0)</f>
        <v>0</v>
      </c>
      <c r="R73" s="1106">
        <f>IF((AG73&lt;0),(MAX($R$8:$R72)+1),0)</f>
        <v>0</v>
      </c>
      <c r="S73" s="1086">
        <f>IF((M73=""),0,COUNTIF($M$8:M73,M73))</f>
        <v>0</v>
      </c>
      <c r="T73" s="1086" t="str">
        <f>IFERROR(MATCH(M73,M_SYMBOL[SYMBOL],0),"")</f>
        <v/>
      </c>
      <c r="U73" s="1070" t="str">
        <f>IFERROR(MATCH(E73,M_TRX_TYPE[TYPE],0),"")</f>
        <v/>
      </c>
      <c r="V73" s="1107">
        <f t="shared" si="35"/>
        <v>0</v>
      </c>
      <c r="W73" s="1095">
        <f t="shared" si="36"/>
        <v>0</v>
      </c>
      <c r="X73" s="1108">
        <f t="shared" si="37"/>
        <v>0</v>
      </c>
      <c r="Y73" s="1109">
        <f>IF(S73=1,0,IF(M73="",0,IF(S73&gt;1,(SUMIF($M$8:Z72,M73,$Z$8:Z72))+(SUMIF($M$8:Z72,M73,$AA$8:AA72)),0)))</f>
        <v>0</v>
      </c>
      <c r="Z73" s="1110">
        <f t="shared" si="38"/>
        <v>0</v>
      </c>
      <c r="AA73" s="1111">
        <f t="shared" si="39"/>
        <v>0</v>
      </c>
      <c r="AB73" s="1112">
        <f>DE_BKCDN[[#This Row],[PREVIOUS
UNITS]]+DE_BKCDN[[#This Row],[SHARES
BOUGHT]]+DE_BKCDN[[#This Row],[SHARES 
SOLD]]</f>
        <v>0</v>
      </c>
      <c r="AC73" s="1113">
        <f>IF(S73=1,0,IF(M73="",0,IF(S73&gt;1,SUMIF($M$8:AE72,M73,$AE$8:AE72)+SUMIF($M$8:AE72,M73,$AD$8:AD72),0)))</f>
        <v>0</v>
      </c>
      <c r="AD73" s="1114">
        <f t="shared" si="40"/>
        <v>0</v>
      </c>
      <c r="AE73" s="1115">
        <f t="shared" si="41"/>
        <v>0</v>
      </c>
      <c r="AF73" s="1116">
        <f t="shared" si="42"/>
        <v>0</v>
      </c>
      <c r="AG73" s="1117">
        <f t="shared" si="43"/>
        <v>0</v>
      </c>
      <c r="AH73" s="1115">
        <f>DE_BKCDN[[#This Row],[PROCEEDS]]-DE_BKCDN[[#This Row],[SOLD]]</f>
        <v>0</v>
      </c>
      <c r="AI73" s="1118" t="str">
        <f t="shared" si="44"/>
        <v/>
      </c>
      <c r="AJ73" s="1119" t="str">
        <f>IF(E73="S", DATEDIF(_xlfn.MAXIFS($F$10:F73, $D$10:D73, D73, $AB$10:AB73, "&gt;0"), F73, "d"), "")</f>
        <v/>
      </c>
      <c r="AK73" s="1118" t="str">
        <f>IF(O73="H",DE_BKCDN[[#This Row],[DATE]],"")</f>
        <v/>
      </c>
      <c r="AL73" s="1120" t="str">
        <f t="shared" ref="AL73:AL84" si="47">IF(O73="","",IF(O73="H",SUMIF($M$8:$Z$93,M73,$Z$8:$Z$93)+SUMIF($M$8:$AA$93,M73,$AA$8:$AA$93)))</f>
        <v/>
      </c>
      <c r="AM73" s="1121">
        <f t="shared" ref="AM73:AM84" si="48">IF(O73="H",SUMIF($M$8:$AF$93,M73,$AD$8:$AD$93)+SUMIF($M$8:$AF$93,M73,$AE$8:$AE$93),0)</f>
        <v>0</v>
      </c>
      <c r="AN73" s="1122">
        <v>0</v>
      </c>
      <c r="AO73" s="1122">
        <f>IFERROR(DE_BKCDN[[#This Row],[MKT]]*DE_BKCDN[[#This Row],[HOLDINGS]],0)</f>
        <v>0</v>
      </c>
      <c r="AP73" s="1123" t="str">
        <f t="shared" si="45"/>
        <v xml:space="preserve"> </v>
      </c>
      <c r="AQ73" s="159" t="s">
        <v>0</v>
      </c>
      <c r="AR73" s="159"/>
    </row>
    <row r="74" spans="1:44" s="179" customFormat="1" ht="15.75" customHeight="1">
      <c r="A74" s="177"/>
      <c r="B74" s="1176">
        <v>167</v>
      </c>
      <c r="C74" s="194" t="str">
        <f t="shared" si="27"/>
        <v>BK-CDN</v>
      </c>
      <c r="D74" s="178"/>
      <c r="F74" s="180"/>
      <c r="G74" s="1096"/>
      <c r="H74" s="182"/>
      <c r="I74" s="183"/>
      <c r="J74" s="184"/>
      <c r="K74" s="1095">
        <f t="shared" si="46"/>
        <v>-5402.1099999999988</v>
      </c>
      <c r="L74" s="1100" t="str" cm="1">
        <f t="array" ref="L74">IFERROR(INDEX(M_TRX_TYPE[#Data], U74, MATCH($C$5,M_TRX_TYPE[#Headers], 0)), "")</f>
        <v/>
      </c>
      <c r="M74" s="1102" t="str">
        <f t="shared" si="34"/>
        <v/>
      </c>
      <c r="N74" s="1103">
        <f>IF((O74="H"),(MAX($N$8:N73)+1),0)</f>
        <v>0</v>
      </c>
      <c r="O74" s="1204" t="str">
        <f t="shared" ref="O74:O84" si="49">IF(S74=1,IF((SUMIF($M$8:$M$93,M74,$Z$8:$Z$93)+SUMIF($M$8:$M$93,M74,$AA$8:$AA$93))&gt;0,"H",""),"")</f>
        <v/>
      </c>
      <c r="P74" s="1105" cm="1">
        <f t="array" ref="P74">MAX(IF($D$10:$D$84=D74, $S$10:$S$84))</f>
        <v>0</v>
      </c>
      <c r="Q74" s="1106">
        <f>IF((E74="B"),(MAX($Q$6:Q73)+1),0)</f>
        <v>0</v>
      </c>
      <c r="R74" s="1106">
        <f>IF((AG74&lt;0),(MAX($R$8:$R73)+1),0)</f>
        <v>0</v>
      </c>
      <c r="S74" s="1086">
        <f>IF((M74=""),0,COUNTIF($M$8:M74,M74))</f>
        <v>0</v>
      </c>
      <c r="T74" s="1086" t="str">
        <f>IFERROR(MATCH(M74,M_SYMBOL[SYMBOL],0),"")</f>
        <v/>
      </c>
      <c r="U74" s="1070" t="str">
        <f>IFERROR(MATCH(E74,M_TRX_TYPE[TYPE],0),"")</f>
        <v/>
      </c>
      <c r="V74" s="1107">
        <f t="shared" si="35"/>
        <v>0</v>
      </c>
      <c r="W74" s="1095">
        <f t="shared" si="36"/>
        <v>0</v>
      </c>
      <c r="X74" s="1108">
        <f t="shared" si="37"/>
        <v>0</v>
      </c>
      <c r="Y74" s="1109">
        <f>IF(S74=1,0,IF(M74="",0,IF(S74&gt;1,(SUMIF($M$8:Z73,M74,$Z$8:Z73))+(SUMIF($M$8:Z73,M74,$AA$8:AA73)),0)))</f>
        <v>0</v>
      </c>
      <c r="Z74" s="1110">
        <f t="shared" si="38"/>
        <v>0</v>
      </c>
      <c r="AA74" s="1111">
        <f t="shared" si="39"/>
        <v>0</v>
      </c>
      <c r="AB74" s="1112">
        <f>DE_BKCDN[[#This Row],[PREVIOUS
UNITS]]+DE_BKCDN[[#This Row],[SHARES
BOUGHT]]+DE_BKCDN[[#This Row],[SHARES 
SOLD]]</f>
        <v>0</v>
      </c>
      <c r="AC74" s="1113">
        <f>IF(S74=1,0,IF(M74="",0,IF(S74&gt;1,SUMIF($M$8:AE73,M74,$AE$8:AE73)+SUMIF($M$8:AE73,M74,$AD$8:AD73),0)))</f>
        <v>0</v>
      </c>
      <c r="AD74" s="1114">
        <f t="shared" si="40"/>
        <v>0</v>
      </c>
      <c r="AE74" s="1115">
        <f t="shared" si="41"/>
        <v>0</v>
      </c>
      <c r="AF74" s="1116">
        <f t="shared" si="42"/>
        <v>0</v>
      </c>
      <c r="AG74" s="1117">
        <f t="shared" si="43"/>
        <v>0</v>
      </c>
      <c r="AH74" s="1115">
        <f>DE_BKCDN[[#This Row],[PROCEEDS]]-DE_BKCDN[[#This Row],[SOLD]]</f>
        <v>0</v>
      </c>
      <c r="AI74" s="1118" t="str">
        <f t="shared" si="44"/>
        <v/>
      </c>
      <c r="AJ74" s="1119" t="str">
        <f>IF(E74="S", DATEDIF(_xlfn.MAXIFS($F$10:F74, $D$10:D74, D74, $AB$10:AB74, "&gt;0"), F74, "d"), "")</f>
        <v/>
      </c>
      <c r="AK74" s="1118" t="str">
        <f>IF(O74="H",DE_BKCDN[[#This Row],[DATE]],"")</f>
        <v/>
      </c>
      <c r="AL74" s="1120" t="str">
        <f t="shared" si="47"/>
        <v/>
      </c>
      <c r="AM74" s="1121">
        <f t="shared" si="48"/>
        <v>0</v>
      </c>
      <c r="AN74" s="1122">
        <v>0</v>
      </c>
      <c r="AO74" s="1122">
        <f>IFERROR(DE_BKCDN[[#This Row],[MKT]]*DE_BKCDN[[#This Row],[HOLDINGS]],0)</f>
        <v>0</v>
      </c>
      <c r="AP74" s="1123" t="str">
        <f t="shared" si="45"/>
        <v xml:space="preserve"> </v>
      </c>
      <c r="AQ74" s="159" t="s">
        <v>0</v>
      </c>
      <c r="AR74" s="159"/>
    </row>
    <row r="75" spans="1:44" s="179" customFormat="1" ht="15.75" customHeight="1">
      <c r="A75" s="177"/>
      <c r="B75" s="1176">
        <v>168</v>
      </c>
      <c r="C75" s="194" t="str">
        <f t="shared" ref="C75" si="50">$C$5</f>
        <v>BK-CDN</v>
      </c>
      <c r="D75" s="178"/>
      <c r="F75" s="180"/>
      <c r="G75" s="1096"/>
      <c r="H75" s="182"/>
      <c r="I75" s="183"/>
      <c r="J75" s="184"/>
      <c r="K75" s="1095">
        <f t="shared" si="46"/>
        <v>-5402.1099999999988</v>
      </c>
      <c r="L75" s="1100" t="str" cm="1">
        <f t="array" ref="L75">IFERROR(INDEX(M_TRX_TYPE[#Data], U75, MATCH($C$5,M_TRX_TYPE[#Headers], 0)), "")</f>
        <v/>
      </c>
      <c r="M75" s="1102" t="str">
        <f t="shared" si="34"/>
        <v/>
      </c>
      <c r="N75" s="1103">
        <f>IF((O75="H"),(MAX($N$8:N74)+1),0)</f>
        <v>0</v>
      </c>
      <c r="O75" s="1204" t="str">
        <f t="shared" si="49"/>
        <v/>
      </c>
      <c r="P75" s="1105" cm="1">
        <f t="array" ref="P75">MAX(IF($D$10:$D$84=D75, $S$10:$S$84))</f>
        <v>0</v>
      </c>
      <c r="Q75" s="1106">
        <f>IF((E75="B"),(MAX($Q$6:Q74)+1),0)</f>
        <v>0</v>
      </c>
      <c r="R75" s="1106">
        <f>IF((AG75&lt;0),(MAX($R$8:$R74)+1),0)</f>
        <v>0</v>
      </c>
      <c r="S75" s="1086">
        <f>IF((M75=""),0,COUNTIF($M$8:M75,M75))</f>
        <v>0</v>
      </c>
      <c r="T75" s="1086" t="str">
        <f>IFERROR(MATCH(M75,M_SYMBOL[SYMBOL],0),"")</f>
        <v/>
      </c>
      <c r="U75" s="1070" t="str">
        <f>IFERROR(MATCH(E75,M_TRX_TYPE[TYPE],0),"")</f>
        <v/>
      </c>
      <c r="V75" s="1107">
        <f t="shared" si="35"/>
        <v>0</v>
      </c>
      <c r="W75" s="1095">
        <f t="shared" si="36"/>
        <v>0</v>
      </c>
      <c r="X75" s="1108">
        <f t="shared" si="37"/>
        <v>0</v>
      </c>
      <c r="Y75" s="1109">
        <f>IF(S75=1,0,IF(M75="",0,IF(S75&gt;1,(SUMIF($M$8:Z74,M75,$Z$8:Z74))+(SUMIF($M$8:Z74,M75,$AA$8:AA74)),0)))</f>
        <v>0</v>
      </c>
      <c r="Z75" s="1110">
        <f t="shared" si="38"/>
        <v>0</v>
      </c>
      <c r="AA75" s="1111">
        <f t="shared" si="39"/>
        <v>0</v>
      </c>
      <c r="AB75" s="1112">
        <f>DE_BKCDN[[#This Row],[PREVIOUS
UNITS]]+DE_BKCDN[[#This Row],[SHARES
BOUGHT]]+DE_BKCDN[[#This Row],[SHARES 
SOLD]]</f>
        <v>0</v>
      </c>
      <c r="AC75" s="1113">
        <f>IF(S75=1,0,IF(M75="",0,IF(S75&gt;1,SUMIF($M$8:AE74,M75,$AE$8:AE74)+SUMIF($M$8:AE74,M75,$AD$8:AD74),0)))</f>
        <v>0</v>
      </c>
      <c r="AD75" s="1114">
        <f t="shared" si="40"/>
        <v>0</v>
      </c>
      <c r="AE75" s="1115">
        <f t="shared" si="41"/>
        <v>0</v>
      </c>
      <c r="AF75" s="1116">
        <f t="shared" si="42"/>
        <v>0</v>
      </c>
      <c r="AG75" s="1117">
        <f t="shared" si="43"/>
        <v>0</v>
      </c>
      <c r="AH75" s="1115">
        <f>DE_BKCDN[[#This Row],[PROCEEDS]]-DE_BKCDN[[#This Row],[SOLD]]</f>
        <v>0</v>
      </c>
      <c r="AI75" s="1118" t="str">
        <f t="shared" si="44"/>
        <v/>
      </c>
      <c r="AJ75" s="1119" t="str">
        <f>IF(E75="S", DATEDIF(_xlfn.MAXIFS($F$10:F75, $D$10:D75, D75, $AB$10:AB75, "&gt;0"), F75, "d"), "")</f>
        <v/>
      </c>
      <c r="AK75" s="1118" t="str">
        <f>IF(O75="H",DE_BKCDN[[#This Row],[DATE]],"")</f>
        <v/>
      </c>
      <c r="AL75" s="1120" t="str">
        <f t="shared" si="47"/>
        <v/>
      </c>
      <c r="AM75" s="1121">
        <f t="shared" si="48"/>
        <v>0</v>
      </c>
      <c r="AN75" s="1122">
        <v>0</v>
      </c>
      <c r="AO75" s="1122">
        <f>IFERROR(DE_BKCDN[[#This Row],[MKT]]*DE_BKCDN[[#This Row],[HOLDINGS]],0)</f>
        <v>0</v>
      </c>
      <c r="AP75" s="1123" t="str">
        <f t="shared" si="45"/>
        <v xml:space="preserve"> </v>
      </c>
      <c r="AQ75" s="159" t="s">
        <v>0</v>
      </c>
      <c r="AR75" s="159"/>
    </row>
    <row r="76" spans="1:44" s="179" customFormat="1" ht="15.75" customHeight="1">
      <c r="A76" s="177"/>
      <c r="B76" s="1176">
        <v>169</v>
      </c>
      <c r="C76" s="194" t="str">
        <f t="shared" ref="C76:C82" si="51">$C$5</f>
        <v>BK-CDN</v>
      </c>
      <c r="D76" s="178"/>
      <c r="F76" s="180"/>
      <c r="G76" s="1096"/>
      <c r="H76" s="182"/>
      <c r="I76" s="183"/>
      <c r="J76" s="184"/>
      <c r="K76" s="1095">
        <f t="shared" si="46"/>
        <v>-5402.1099999999988</v>
      </c>
      <c r="L76" s="1100" t="str" cm="1">
        <f t="array" ref="L76">IFERROR(INDEX(M_TRX_TYPE[#Data], U76, MATCH($C$5,M_TRX_TYPE[#Headers], 0)), "")</f>
        <v/>
      </c>
      <c r="M76" s="1102" t="str">
        <f t="shared" si="34"/>
        <v/>
      </c>
      <c r="N76" s="1103">
        <f>IF((O76="H"),(MAX($N$8:N75)+1),0)</f>
        <v>0</v>
      </c>
      <c r="O76" s="1204" t="str">
        <f t="shared" si="49"/>
        <v/>
      </c>
      <c r="P76" s="1105" cm="1">
        <f t="array" ref="P76">MAX(IF($D$10:$D$84=D76, $S$10:$S$84))</f>
        <v>0</v>
      </c>
      <c r="Q76" s="1106">
        <f>IF((E76="B"),(MAX($Q$6:Q75)+1),0)</f>
        <v>0</v>
      </c>
      <c r="R76" s="1106">
        <f>IF((AG76&lt;0),(MAX($R$8:$R75)+1),0)</f>
        <v>0</v>
      </c>
      <c r="S76" s="1086">
        <f>IF((M76=""),0,COUNTIF($M$8:M76,M76))</f>
        <v>0</v>
      </c>
      <c r="T76" s="1086" t="str">
        <f>IFERROR(MATCH(M76,M_SYMBOL[SYMBOL],0),"")</f>
        <v/>
      </c>
      <c r="U76" s="1070" t="str">
        <f>IFERROR(MATCH(E76,M_TRX_TYPE[TYPE],0),"")</f>
        <v/>
      </c>
      <c r="V76" s="1107">
        <f t="shared" si="35"/>
        <v>0</v>
      </c>
      <c r="W76" s="1095">
        <f t="shared" si="36"/>
        <v>0</v>
      </c>
      <c r="X76" s="1108">
        <f t="shared" si="37"/>
        <v>0</v>
      </c>
      <c r="Y76" s="1109">
        <f>IF(S76=1,0,IF(M76="",0,IF(S76&gt;1,(SUMIF($M$8:Z75,M76,$Z$8:Z75))+(SUMIF($M$8:Z75,M76,$AA$8:AA75)),0)))</f>
        <v>0</v>
      </c>
      <c r="Z76" s="1110">
        <f t="shared" si="38"/>
        <v>0</v>
      </c>
      <c r="AA76" s="1111">
        <f t="shared" si="39"/>
        <v>0</v>
      </c>
      <c r="AB76" s="1112">
        <f>DE_BKCDN[[#This Row],[PREVIOUS
UNITS]]+DE_BKCDN[[#This Row],[SHARES
BOUGHT]]+DE_BKCDN[[#This Row],[SHARES 
SOLD]]</f>
        <v>0</v>
      </c>
      <c r="AC76" s="1113">
        <f>IF(S76=1,0,IF(M76="",0,IF(S76&gt;1,SUMIF($M$8:AE75,M76,$AE$8:AE75)+SUMIF($M$8:AE75,M76,$AD$8:AD75),0)))</f>
        <v>0</v>
      </c>
      <c r="AD76" s="1114">
        <f t="shared" si="40"/>
        <v>0</v>
      </c>
      <c r="AE76" s="1115">
        <f t="shared" si="41"/>
        <v>0</v>
      </c>
      <c r="AF76" s="1116">
        <f t="shared" si="42"/>
        <v>0</v>
      </c>
      <c r="AG76" s="1117">
        <f t="shared" si="43"/>
        <v>0</v>
      </c>
      <c r="AH76" s="1115">
        <f>DE_BKCDN[[#This Row],[PROCEEDS]]-DE_BKCDN[[#This Row],[SOLD]]</f>
        <v>0</v>
      </c>
      <c r="AI76" s="1118" t="str">
        <f t="shared" si="44"/>
        <v/>
      </c>
      <c r="AJ76" s="1119" t="str">
        <f>IF(E76="S", DATEDIF(_xlfn.MAXIFS($F$10:F76, $D$10:D76, D76, $AB$10:AB76, "&gt;0"), F76, "d"), "")</f>
        <v/>
      </c>
      <c r="AK76" s="1118" t="str">
        <f>IF(O76="H",DE_BKCDN[[#This Row],[DATE]],"")</f>
        <v/>
      </c>
      <c r="AL76" s="1120" t="str">
        <f t="shared" si="47"/>
        <v/>
      </c>
      <c r="AM76" s="1121">
        <f t="shared" si="48"/>
        <v>0</v>
      </c>
      <c r="AN76" s="1122">
        <v>0</v>
      </c>
      <c r="AO76" s="1122">
        <f>IFERROR(DE_BKCDN[[#This Row],[MKT]]*DE_BKCDN[[#This Row],[HOLDINGS]],0)</f>
        <v>0</v>
      </c>
      <c r="AP76" s="1123" t="str">
        <f t="shared" si="45"/>
        <v xml:space="preserve"> </v>
      </c>
      <c r="AQ76" s="159" t="s">
        <v>0</v>
      </c>
      <c r="AR76" s="159"/>
    </row>
    <row r="77" spans="1:44" s="179" customFormat="1" ht="15.75" customHeight="1">
      <c r="A77" s="177"/>
      <c r="B77" s="1176">
        <v>170</v>
      </c>
      <c r="C77" s="194" t="str">
        <f t="shared" si="51"/>
        <v>BK-CDN</v>
      </c>
      <c r="D77" s="178"/>
      <c r="F77" s="180"/>
      <c r="G77" s="1096"/>
      <c r="H77" s="182"/>
      <c r="I77" s="183"/>
      <c r="J77" s="184"/>
      <c r="K77" s="1095">
        <f t="shared" si="46"/>
        <v>-5402.1099999999988</v>
      </c>
      <c r="L77" s="1100" t="str" cm="1">
        <f t="array" ref="L77">IFERROR(INDEX(M_TRX_TYPE[#Data], U77, MATCH($C$5,M_TRX_TYPE[#Headers], 0)), "")</f>
        <v/>
      </c>
      <c r="M77" s="1102" t="str">
        <f t="shared" si="34"/>
        <v/>
      </c>
      <c r="N77" s="1103">
        <f>IF((O77="H"),(MAX($N$8:N76)+1),0)</f>
        <v>0</v>
      </c>
      <c r="O77" s="1204" t="str">
        <f t="shared" si="49"/>
        <v/>
      </c>
      <c r="P77" s="1105" cm="1">
        <f t="array" ref="P77">MAX(IF($D$10:$D$84=D77, $S$10:$S$84))</f>
        <v>0</v>
      </c>
      <c r="Q77" s="1106">
        <f>IF((E77="B"),(MAX($Q$6:Q76)+1),0)</f>
        <v>0</v>
      </c>
      <c r="R77" s="1106">
        <f>IF((AG77&lt;0),(MAX($R$8:$R76)+1),0)</f>
        <v>0</v>
      </c>
      <c r="S77" s="1086">
        <f>IF((M77=""),0,COUNTIF($M$8:M77,M77))</f>
        <v>0</v>
      </c>
      <c r="T77" s="1086" t="str">
        <f>IFERROR(MATCH(M77,M_SYMBOL[SYMBOL],0),"")</f>
        <v/>
      </c>
      <c r="U77" s="1070" t="str">
        <f>IFERROR(MATCH(E77,M_TRX_TYPE[TYPE],0),"")</f>
        <v/>
      </c>
      <c r="V77" s="1107">
        <f t="shared" si="35"/>
        <v>0</v>
      </c>
      <c r="W77" s="1095">
        <f t="shared" si="36"/>
        <v>0</v>
      </c>
      <c r="X77" s="1108">
        <f t="shared" si="37"/>
        <v>0</v>
      </c>
      <c r="Y77" s="1109">
        <f>IF(S77=1,0,IF(M77="",0,IF(S77&gt;1,(SUMIF($M$8:Z76,M77,$Z$8:Z76))+(SUMIF($M$8:Z76,M77,$AA$8:AA76)),0)))</f>
        <v>0</v>
      </c>
      <c r="Z77" s="1110">
        <f t="shared" si="38"/>
        <v>0</v>
      </c>
      <c r="AA77" s="1111">
        <f t="shared" si="39"/>
        <v>0</v>
      </c>
      <c r="AB77" s="1112">
        <f>DE_BKCDN[[#This Row],[PREVIOUS
UNITS]]+DE_BKCDN[[#This Row],[SHARES
BOUGHT]]+DE_BKCDN[[#This Row],[SHARES 
SOLD]]</f>
        <v>0</v>
      </c>
      <c r="AC77" s="1113">
        <f>IF(S77=1,0,IF(M77="",0,IF(S77&gt;1,SUMIF($M$8:AE76,M77,$AE$8:AE76)+SUMIF($M$8:AE76,M77,$AD$8:AD76),0)))</f>
        <v>0</v>
      </c>
      <c r="AD77" s="1114">
        <f t="shared" si="40"/>
        <v>0</v>
      </c>
      <c r="AE77" s="1115">
        <f t="shared" si="41"/>
        <v>0</v>
      </c>
      <c r="AF77" s="1116">
        <f t="shared" si="42"/>
        <v>0</v>
      </c>
      <c r="AG77" s="1117">
        <f t="shared" si="43"/>
        <v>0</v>
      </c>
      <c r="AH77" s="1115">
        <f>DE_BKCDN[[#This Row],[PROCEEDS]]-DE_BKCDN[[#This Row],[SOLD]]</f>
        <v>0</v>
      </c>
      <c r="AI77" s="1118" t="str">
        <f t="shared" si="44"/>
        <v/>
      </c>
      <c r="AJ77" s="1119" t="str">
        <f>IF(E77="S", DATEDIF(_xlfn.MAXIFS($F$10:F77, $D$10:D77, D77, $AB$10:AB77, "&gt;0"), F77, "d"), "")</f>
        <v/>
      </c>
      <c r="AK77" s="1118" t="str">
        <f>IF(O77="H",DE_BKCDN[[#This Row],[DATE]],"")</f>
        <v/>
      </c>
      <c r="AL77" s="1120" t="str">
        <f t="shared" si="47"/>
        <v/>
      </c>
      <c r="AM77" s="1121">
        <f t="shared" si="48"/>
        <v>0</v>
      </c>
      <c r="AN77" s="1122">
        <v>0</v>
      </c>
      <c r="AO77" s="1122">
        <f>IFERROR(DE_BKCDN[[#This Row],[MKT]]*DE_BKCDN[[#This Row],[HOLDINGS]],0)</f>
        <v>0</v>
      </c>
      <c r="AP77" s="1123" t="str">
        <f t="shared" si="45"/>
        <v xml:space="preserve"> </v>
      </c>
      <c r="AQ77" s="159" t="s">
        <v>0</v>
      </c>
      <c r="AR77" s="159"/>
    </row>
    <row r="78" spans="1:44" s="179" customFormat="1" ht="15.75" customHeight="1">
      <c r="A78" s="177"/>
      <c r="B78" s="1176">
        <v>171</v>
      </c>
      <c r="C78" s="194" t="str">
        <f t="shared" si="51"/>
        <v>BK-CDN</v>
      </c>
      <c r="D78" s="178"/>
      <c r="F78" s="180"/>
      <c r="G78" s="1096"/>
      <c r="H78" s="182"/>
      <c r="I78" s="183"/>
      <c r="J78" s="184"/>
      <c r="K78" s="1095">
        <f t="shared" si="46"/>
        <v>-5402.1099999999988</v>
      </c>
      <c r="L78" s="1100" t="str" cm="1">
        <f t="array" ref="L78">IFERROR(INDEX(M_TRX_TYPE[#Data], U78, MATCH($C$5,M_TRX_TYPE[#Headers], 0)), "")</f>
        <v/>
      </c>
      <c r="M78" s="1102" t="str">
        <f t="shared" si="34"/>
        <v/>
      </c>
      <c r="N78" s="1103">
        <f>IF((O78="H"),(MAX($N$8:N77)+1),0)</f>
        <v>0</v>
      </c>
      <c r="O78" s="1204" t="str">
        <f t="shared" si="49"/>
        <v/>
      </c>
      <c r="P78" s="1105" cm="1">
        <f t="array" ref="P78">MAX(IF($D$10:$D$84=D78, $S$10:$S$84))</f>
        <v>0</v>
      </c>
      <c r="Q78" s="1106">
        <f>IF((E78="B"),(MAX($Q$6:Q77)+1),0)</f>
        <v>0</v>
      </c>
      <c r="R78" s="1106">
        <f>IF((AG78&lt;0),(MAX($R$8:$R77)+1),0)</f>
        <v>0</v>
      </c>
      <c r="S78" s="1086">
        <f>IF((M78=""),0,COUNTIF($M$8:M78,M78))</f>
        <v>0</v>
      </c>
      <c r="T78" s="1086" t="str">
        <f>IFERROR(MATCH(M78,M_SYMBOL[SYMBOL],0),"")</f>
        <v/>
      </c>
      <c r="U78" s="1070" t="str">
        <f>IFERROR(MATCH(E78,M_TRX_TYPE[TYPE],0),"")</f>
        <v/>
      </c>
      <c r="V78" s="1107">
        <f t="shared" si="35"/>
        <v>0</v>
      </c>
      <c r="W78" s="1095">
        <f t="shared" si="36"/>
        <v>0</v>
      </c>
      <c r="X78" s="1108">
        <f t="shared" si="37"/>
        <v>0</v>
      </c>
      <c r="Y78" s="1109">
        <f>IF(S78=1,0,IF(M78="",0,IF(S78&gt;1,(SUMIF($M$8:Z77,M78,$Z$8:Z77))+(SUMIF($M$8:Z77,M78,$AA$8:AA77)),0)))</f>
        <v>0</v>
      </c>
      <c r="Z78" s="1110">
        <f t="shared" si="38"/>
        <v>0</v>
      </c>
      <c r="AA78" s="1111">
        <f t="shared" si="39"/>
        <v>0</v>
      </c>
      <c r="AB78" s="1112">
        <f>DE_BKCDN[[#This Row],[PREVIOUS
UNITS]]+DE_BKCDN[[#This Row],[SHARES
BOUGHT]]+DE_BKCDN[[#This Row],[SHARES 
SOLD]]</f>
        <v>0</v>
      </c>
      <c r="AC78" s="1113">
        <f>IF(S78=1,0,IF(M78="",0,IF(S78&gt;1,SUMIF($M$8:AE77,M78,$AE$8:AE77)+SUMIF($M$8:AE77,M78,$AD$8:AD77),0)))</f>
        <v>0</v>
      </c>
      <c r="AD78" s="1114">
        <f t="shared" si="40"/>
        <v>0</v>
      </c>
      <c r="AE78" s="1115">
        <f t="shared" si="41"/>
        <v>0</v>
      </c>
      <c r="AF78" s="1116">
        <f t="shared" si="42"/>
        <v>0</v>
      </c>
      <c r="AG78" s="1117">
        <f t="shared" si="43"/>
        <v>0</v>
      </c>
      <c r="AH78" s="1115">
        <f>DE_BKCDN[[#This Row],[PROCEEDS]]-DE_BKCDN[[#This Row],[SOLD]]</f>
        <v>0</v>
      </c>
      <c r="AI78" s="1118" t="str">
        <f t="shared" si="44"/>
        <v/>
      </c>
      <c r="AJ78" s="1119" t="str">
        <f>IF(E78="S", DATEDIF(_xlfn.MAXIFS($F$10:F78, $D$10:D78, D78, $AB$10:AB78, "&gt;0"), F78, "d"), "")</f>
        <v/>
      </c>
      <c r="AK78" s="1118" t="str">
        <f>IF(O78="H",DE_BKCDN[[#This Row],[DATE]],"")</f>
        <v/>
      </c>
      <c r="AL78" s="1120" t="str">
        <f t="shared" si="47"/>
        <v/>
      </c>
      <c r="AM78" s="1121">
        <f t="shared" si="48"/>
        <v>0</v>
      </c>
      <c r="AN78" s="1122">
        <v>0</v>
      </c>
      <c r="AO78" s="1122">
        <f>IFERROR(DE_BKCDN[[#This Row],[MKT]]*DE_BKCDN[[#This Row],[HOLDINGS]],0)</f>
        <v>0</v>
      </c>
      <c r="AP78" s="1123" t="str">
        <f t="shared" si="45"/>
        <v xml:space="preserve"> </v>
      </c>
      <c r="AQ78" s="159" t="s">
        <v>0</v>
      </c>
      <c r="AR78" s="159"/>
    </row>
    <row r="79" spans="1:44" s="179" customFormat="1" ht="15.75" customHeight="1">
      <c r="A79" s="177"/>
      <c r="B79" s="1176">
        <v>172</v>
      </c>
      <c r="C79" s="194" t="str">
        <f t="shared" si="51"/>
        <v>BK-CDN</v>
      </c>
      <c r="D79" s="178"/>
      <c r="F79" s="180"/>
      <c r="G79" s="1096"/>
      <c r="H79" s="182"/>
      <c r="I79" s="183"/>
      <c r="J79" s="184"/>
      <c r="K79" s="1095">
        <f t="shared" si="46"/>
        <v>-5402.1099999999988</v>
      </c>
      <c r="L79" s="1100" t="str" cm="1">
        <f t="array" ref="L79">IFERROR(INDEX(M_TRX_TYPE[#Data], U79, MATCH($C$5,M_TRX_TYPE[#Headers], 0)), "")</f>
        <v/>
      </c>
      <c r="M79" s="1102" t="str">
        <f t="shared" si="34"/>
        <v/>
      </c>
      <c r="N79" s="1103">
        <f>IF((O79="H"),(MAX($N$8:N78)+1),0)</f>
        <v>0</v>
      </c>
      <c r="O79" s="1204" t="str">
        <f t="shared" si="49"/>
        <v/>
      </c>
      <c r="P79" s="1105" cm="1">
        <f t="array" ref="P79">MAX(IF($D$10:$D$84=D79, $S$10:$S$84))</f>
        <v>0</v>
      </c>
      <c r="Q79" s="1106">
        <f>IF((E79="B"),(MAX($Q$6:Q78)+1),0)</f>
        <v>0</v>
      </c>
      <c r="R79" s="1106">
        <f>IF((AG79&lt;0),(MAX($R$8:$R78)+1),0)</f>
        <v>0</v>
      </c>
      <c r="S79" s="1086">
        <f>IF((M79=""),0,COUNTIF($M$8:M79,M79))</f>
        <v>0</v>
      </c>
      <c r="T79" s="1086" t="str">
        <f>IFERROR(MATCH(M79,M_SYMBOL[SYMBOL],0),"")</f>
        <v/>
      </c>
      <c r="U79" s="1070" t="str">
        <f>IFERROR(MATCH(E79,M_TRX_TYPE[TYPE],0),"")</f>
        <v/>
      </c>
      <c r="V79" s="1107">
        <f t="shared" si="35"/>
        <v>0</v>
      </c>
      <c r="W79" s="1095">
        <f t="shared" si="36"/>
        <v>0</v>
      </c>
      <c r="X79" s="1108">
        <f t="shared" si="37"/>
        <v>0</v>
      </c>
      <c r="Y79" s="1109">
        <f>IF(S79=1,0,IF(M79="",0,IF(S79&gt;1,(SUMIF($M$8:Z78,M79,$Z$8:Z78))+(SUMIF($M$8:Z78,M79,$AA$8:AA78)),0)))</f>
        <v>0</v>
      </c>
      <c r="Z79" s="1110">
        <f t="shared" si="38"/>
        <v>0</v>
      </c>
      <c r="AA79" s="1111">
        <f t="shared" si="39"/>
        <v>0</v>
      </c>
      <c r="AB79" s="1112">
        <f>DE_BKCDN[[#This Row],[PREVIOUS
UNITS]]+DE_BKCDN[[#This Row],[SHARES
BOUGHT]]+DE_BKCDN[[#This Row],[SHARES 
SOLD]]</f>
        <v>0</v>
      </c>
      <c r="AC79" s="1113">
        <f>IF(S79=1,0,IF(M79="",0,IF(S79&gt;1,SUMIF($M$8:AE78,M79,$AE$8:AE78)+SUMIF($M$8:AE78,M79,$AD$8:AD78),0)))</f>
        <v>0</v>
      </c>
      <c r="AD79" s="1114">
        <f t="shared" si="40"/>
        <v>0</v>
      </c>
      <c r="AE79" s="1115">
        <f t="shared" si="41"/>
        <v>0</v>
      </c>
      <c r="AF79" s="1116">
        <f t="shared" si="42"/>
        <v>0</v>
      </c>
      <c r="AG79" s="1117">
        <f t="shared" si="43"/>
        <v>0</v>
      </c>
      <c r="AH79" s="1115">
        <f>DE_BKCDN[[#This Row],[PROCEEDS]]-DE_BKCDN[[#This Row],[SOLD]]</f>
        <v>0</v>
      </c>
      <c r="AI79" s="1118" t="str">
        <f t="shared" si="44"/>
        <v/>
      </c>
      <c r="AJ79" s="1119" t="str">
        <f>IF(E79="S", DATEDIF(_xlfn.MAXIFS($F$10:F79, $D$10:D79, D79, $AB$10:AB79, "&gt;0"), F79, "d"), "")</f>
        <v/>
      </c>
      <c r="AK79" s="1118" t="str">
        <f>IF(O79="H",DE_BKCDN[[#This Row],[DATE]],"")</f>
        <v/>
      </c>
      <c r="AL79" s="1120" t="str">
        <f t="shared" si="47"/>
        <v/>
      </c>
      <c r="AM79" s="1121">
        <f t="shared" si="48"/>
        <v>0</v>
      </c>
      <c r="AN79" s="1122">
        <v>0</v>
      </c>
      <c r="AO79" s="1122">
        <f>IFERROR(DE_BKCDN[[#This Row],[MKT]]*DE_BKCDN[[#This Row],[HOLDINGS]],0)</f>
        <v>0</v>
      </c>
      <c r="AP79" s="1123" t="str">
        <f t="shared" si="45"/>
        <v xml:space="preserve"> </v>
      </c>
      <c r="AQ79" s="159" t="s">
        <v>0</v>
      </c>
      <c r="AR79" s="159"/>
    </row>
    <row r="80" spans="1:44" s="179" customFormat="1" ht="15.75" customHeight="1">
      <c r="A80" s="177"/>
      <c r="B80" s="1176">
        <v>173</v>
      </c>
      <c r="C80" s="194" t="str">
        <f t="shared" si="51"/>
        <v>BK-CDN</v>
      </c>
      <c r="D80" s="178"/>
      <c r="F80" s="180"/>
      <c r="G80" s="1096"/>
      <c r="H80" s="182"/>
      <c r="I80" s="183"/>
      <c r="J80" s="184"/>
      <c r="K80" s="1095">
        <f t="shared" si="46"/>
        <v>-5402.1099999999988</v>
      </c>
      <c r="L80" s="1100" t="str" cm="1">
        <f t="array" ref="L80">IFERROR(INDEX(M_TRX_TYPE[#Data], U80, MATCH($C$5,M_TRX_TYPE[#Headers], 0)), "")</f>
        <v/>
      </c>
      <c r="M80" s="1102" t="str">
        <f t="shared" si="34"/>
        <v/>
      </c>
      <c r="N80" s="1103">
        <f>IF((O80="H"),(MAX($N$8:N79)+1),0)</f>
        <v>0</v>
      </c>
      <c r="O80" s="1204" t="str">
        <f t="shared" si="49"/>
        <v/>
      </c>
      <c r="P80" s="1105" cm="1">
        <f t="array" ref="P80">MAX(IF($D$10:$D$84=D80, $S$10:$S$84))</f>
        <v>0</v>
      </c>
      <c r="Q80" s="1106">
        <f>IF((E80="B"),(MAX($Q$6:Q79)+1),0)</f>
        <v>0</v>
      </c>
      <c r="R80" s="1106">
        <f>IF((AG80&lt;0),(MAX($R$8:$R79)+1),0)</f>
        <v>0</v>
      </c>
      <c r="S80" s="1086">
        <f>IF((M80=""),0,COUNTIF($M$8:M80,M80))</f>
        <v>0</v>
      </c>
      <c r="T80" s="1086" t="str">
        <f>IFERROR(MATCH(M80,M_SYMBOL[SYMBOL],0),"")</f>
        <v/>
      </c>
      <c r="U80" s="1070" t="str">
        <f>IFERROR(MATCH(E80,M_TRX_TYPE[TYPE],0),"")</f>
        <v/>
      </c>
      <c r="V80" s="1107">
        <f t="shared" si="35"/>
        <v>0</v>
      </c>
      <c r="W80" s="1095">
        <f t="shared" si="36"/>
        <v>0</v>
      </c>
      <c r="X80" s="1108">
        <f t="shared" si="37"/>
        <v>0</v>
      </c>
      <c r="Y80" s="1109">
        <f>IF(S80=1,0,IF(M80="",0,IF(S80&gt;1,(SUMIF($M$8:Z79,M80,$Z$8:Z79))+(SUMIF($M$8:Z79,M80,$AA$8:AA79)),0)))</f>
        <v>0</v>
      </c>
      <c r="Z80" s="1110">
        <f t="shared" si="38"/>
        <v>0</v>
      </c>
      <c r="AA80" s="1111">
        <f t="shared" si="39"/>
        <v>0</v>
      </c>
      <c r="AB80" s="1112">
        <f>DE_BKCDN[[#This Row],[PREVIOUS
UNITS]]+DE_BKCDN[[#This Row],[SHARES
BOUGHT]]+DE_BKCDN[[#This Row],[SHARES 
SOLD]]</f>
        <v>0</v>
      </c>
      <c r="AC80" s="1113">
        <f>IF(S80=1,0,IF(M80="",0,IF(S80&gt;1,SUMIF($M$8:AE79,M80,$AE$8:AE79)+SUMIF($M$8:AE79,M80,$AD$8:AD79),0)))</f>
        <v>0</v>
      </c>
      <c r="AD80" s="1114">
        <f t="shared" si="40"/>
        <v>0</v>
      </c>
      <c r="AE80" s="1115">
        <f t="shared" si="41"/>
        <v>0</v>
      </c>
      <c r="AF80" s="1116">
        <f t="shared" si="42"/>
        <v>0</v>
      </c>
      <c r="AG80" s="1117">
        <f t="shared" si="43"/>
        <v>0</v>
      </c>
      <c r="AH80" s="1115">
        <f>DE_BKCDN[[#This Row],[PROCEEDS]]-DE_BKCDN[[#This Row],[SOLD]]</f>
        <v>0</v>
      </c>
      <c r="AI80" s="1118" t="str">
        <f t="shared" si="44"/>
        <v/>
      </c>
      <c r="AJ80" s="1119" t="str">
        <f>IF(E80="S", DATEDIF(_xlfn.MAXIFS($F$10:F80, $D$10:D80, D80, $AB$10:AB80, "&gt;0"), F80, "d"), "")</f>
        <v/>
      </c>
      <c r="AK80" s="1118" t="str">
        <f>IF(O80="H",DE_BKCDN[[#This Row],[DATE]],"")</f>
        <v/>
      </c>
      <c r="AL80" s="1120" t="str">
        <f t="shared" si="47"/>
        <v/>
      </c>
      <c r="AM80" s="1121">
        <f t="shared" si="48"/>
        <v>0</v>
      </c>
      <c r="AN80" s="1122">
        <v>0</v>
      </c>
      <c r="AO80" s="1122">
        <f>IFERROR(DE_BKCDN[[#This Row],[MKT]]*DE_BKCDN[[#This Row],[HOLDINGS]],0)</f>
        <v>0</v>
      </c>
      <c r="AP80" s="1123" t="str">
        <f t="shared" si="45"/>
        <v xml:space="preserve"> </v>
      </c>
      <c r="AQ80" s="159" t="s">
        <v>0</v>
      </c>
      <c r="AR80" s="159"/>
    </row>
    <row r="81" spans="1:44" s="179" customFormat="1" ht="15.75" customHeight="1">
      <c r="A81" s="177"/>
      <c r="B81" s="1176">
        <v>174</v>
      </c>
      <c r="C81" s="194" t="str">
        <f t="shared" si="51"/>
        <v>BK-CDN</v>
      </c>
      <c r="D81" s="178"/>
      <c r="F81" s="180"/>
      <c r="G81" s="1096"/>
      <c r="H81" s="182"/>
      <c r="I81" s="183"/>
      <c r="J81" s="184"/>
      <c r="K81" s="1095">
        <f t="shared" si="46"/>
        <v>-5402.1099999999988</v>
      </c>
      <c r="L81" s="1100" t="str" cm="1">
        <f t="array" ref="L81">IFERROR(INDEX(M_TRX_TYPE[#Data], U81, MATCH($C$5,M_TRX_TYPE[#Headers], 0)), "")</f>
        <v/>
      </c>
      <c r="M81" s="1102" t="str">
        <f t="shared" si="34"/>
        <v/>
      </c>
      <c r="N81" s="1103">
        <f>IF((O81="H"),(MAX($N$8:N80)+1),0)</f>
        <v>0</v>
      </c>
      <c r="O81" s="1204" t="str">
        <f t="shared" si="49"/>
        <v/>
      </c>
      <c r="P81" s="1105" cm="1">
        <f t="array" ref="P81">MAX(IF($D$10:$D$84=D81, $S$10:$S$84))</f>
        <v>0</v>
      </c>
      <c r="Q81" s="1106">
        <f>IF((E81="B"),(MAX($Q$6:Q80)+1),0)</f>
        <v>0</v>
      </c>
      <c r="R81" s="1106">
        <f>IF((AG81&lt;0),(MAX($R$8:$R80)+1),0)</f>
        <v>0</v>
      </c>
      <c r="S81" s="1086">
        <f>IF((M81=""),0,COUNTIF($M$8:M81,M81))</f>
        <v>0</v>
      </c>
      <c r="T81" s="1086" t="str">
        <f>IFERROR(MATCH(M81,M_SYMBOL[SYMBOL],0),"")</f>
        <v/>
      </c>
      <c r="U81" s="1070" t="str">
        <f>IFERROR(MATCH(E81,M_TRX_TYPE[TYPE],0),"")</f>
        <v/>
      </c>
      <c r="V81" s="1107">
        <f t="shared" si="35"/>
        <v>0</v>
      </c>
      <c r="W81" s="1095">
        <f t="shared" si="36"/>
        <v>0</v>
      </c>
      <c r="X81" s="1108">
        <f t="shared" si="37"/>
        <v>0</v>
      </c>
      <c r="Y81" s="1109">
        <f>IF(S81=1,0,IF(M81="",0,IF(S81&gt;1,(SUMIF($M$8:Z80,M81,$Z$8:Z80))+(SUMIF($M$8:Z80,M81,$AA$8:AA80)),0)))</f>
        <v>0</v>
      </c>
      <c r="Z81" s="1110">
        <f t="shared" si="38"/>
        <v>0</v>
      </c>
      <c r="AA81" s="1111">
        <f t="shared" si="39"/>
        <v>0</v>
      </c>
      <c r="AB81" s="1112">
        <f>DE_BKCDN[[#This Row],[PREVIOUS
UNITS]]+DE_BKCDN[[#This Row],[SHARES
BOUGHT]]+DE_BKCDN[[#This Row],[SHARES 
SOLD]]</f>
        <v>0</v>
      </c>
      <c r="AC81" s="1113">
        <f>IF(S81=1,0,IF(M81="",0,IF(S81&gt;1,SUMIF($M$8:AE80,M81,$AE$8:AE80)+SUMIF($M$8:AE80,M81,$AD$8:AD80),0)))</f>
        <v>0</v>
      </c>
      <c r="AD81" s="1114">
        <f t="shared" si="40"/>
        <v>0</v>
      </c>
      <c r="AE81" s="1115">
        <f t="shared" si="41"/>
        <v>0</v>
      </c>
      <c r="AF81" s="1116">
        <f t="shared" si="42"/>
        <v>0</v>
      </c>
      <c r="AG81" s="1117">
        <f t="shared" si="43"/>
        <v>0</v>
      </c>
      <c r="AH81" s="1115">
        <f>DE_BKCDN[[#This Row],[PROCEEDS]]-DE_BKCDN[[#This Row],[SOLD]]</f>
        <v>0</v>
      </c>
      <c r="AI81" s="1118" t="str">
        <f t="shared" si="44"/>
        <v/>
      </c>
      <c r="AJ81" s="1119" t="str">
        <f>IF(E81="S", DATEDIF(_xlfn.MAXIFS($F$10:F81, $D$10:D81, D81, $AB$10:AB81, "&gt;0"), F81, "d"), "")</f>
        <v/>
      </c>
      <c r="AK81" s="1118" t="str">
        <f>IF(O81="H",DE_BKCDN[[#This Row],[DATE]],"")</f>
        <v/>
      </c>
      <c r="AL81" s="1120" t="str">
        <f t="shared" si="47"/>
        <v/>
      </c>
      <c r="AM81" s="1121">
        <f t="shared" si="48"/>
        <v>0</v>
      </c>
      <c r="AN81" s="1122">
        <v>0</v>
      </c>
      <c r="AO81" s="1122">
        <f>IFERROR(DE_BKCDN[[#This Row],[MKT]]*DE_BKCDN[[#This Row],[HOLDINGS]],0)</f>
        <v>0</v>
      </c>
      <c r="AP81" s="1123" t="str">
        <f t="shared" si="45"/>
        <v xml:space="preserve"> </v>
      </c>
      <c r="AQ81" s="159" t="s">
        <v>0</v>
      </c>
      <c r="AR81" s="159"/>
    </row>
    <row r="82" spans="1:44" ht="15.75" customHeight="1">
      <c r="A82" s="177"/>
      <c r="B82" s="1176">
        <v>175</v>
      </c>
      <c r="C82" s="194" t="str">
        <f t="shared" si="51"/>
        <v>BK-CDN</v>
      </c>
      <c r="D82" s="178"/>
      <c r="E82" s="179"/>
      <c r="F82" s="180"/>
      <c r="G82" s="1096"/>
      <c r="H82" s="182"/>
      <c r="I82" s="183"/>
      <c r="J82" s="184"/>
      <c r="K82" s="1095">
        <f t="shared" si="46"/>
        <v>-5402.1099999999988</v>
      </c>
      <c r="L82" s="1100" t="str" cm="1">
        <f t="array" ref="L82">IFERROR(INDEX(M_TRX_TYPE[#Data], U82, MATCH($C$5,M_TRX_TYPE[#Headers], 0)), "")</f>
        <v/>
      </c>
      <c r="M82" s="1102" t="str">
        <f t="shared" si="34"/>
        <v/>
      </c>
      <c r="N82" s="1103">
        <f>IF((O82="H"),(MAX($N$8:N81)+1),0)</f>
        <v>0</v>
      </c>
      <c r="O82" s="1204" t="str">
        <f t="shared" si="49"/>
        <v/>
      </c>
      <c r="P82" s="1105" cm="1">
        <f t="array" ref="P82">MAX(IF($D$10:$D$84=D82, $S$10:$S$84))</f>
        <v>0</v>
      </c>
      <c r="Q82" s="1106">
        <f>IF((E82="B"),(MAX($Q$6:Q81)+1),0)</f>
        <v>0</v>
      </c>
      <c r="R82" s="1106">
        <f>IF((AG82&lt;0),(MAX($R$8:$R81)+1),0)</f>
        <v>0</v>
      </c>
      <c r="S82" s="1086">
        <f>IF((M82=""),0,COUNTIF($M$8:M82,M82))</f>
        <v>0</v>
      </c>
      <c r="T82" s="1086" t="str">
        <f>IFERROR(MATCH(M82,M_SYMBOL[SYMBOL],0),"")</f>
        <v/>
      </c>
      <c r="U82" s="1070" t="str">
        <f>IFERROR(MATCH(E82,M_TRX_TYPE[TYPE],0),"")</f>
        <v/>
      </c>
      <c r="V82" s="1107">
        <f t="shared" si="35"/>
        <v>0</v>
      </c>
      <c r="W82" s="1095">
        <f t="shared" si="36"/>
        <v>0</v>
      </c>
      <c r="X82" s="1108">
        <f t="shared" si="37"/>
        <v>0</v>
      </c>
      <c r="Y82" s="1109">
        <f>IF(S82=1,0,IF(M82="",0,IF(S82&gt;1,(SUMIF($M$8:Z81,M82,$Z$8:Z81))+(SUMIF($M$8:Z81,M82,$AA$8:AA81)),0)))</f>
        <v>0</v>
      </c>
      <c r="Z82" s="1110">
        <f t="shared" si="38"/>
        <v>0</v>
      </c>
      <c r="AA82" s="1111">
        <f t="shared" si="39"/>
        <v>0</v>
      </c>
      <c r="AB82" s="1112">
        <f>DE_BKCDN[[#This Row],[PREVIOUS
UNITS]]+DE_BKCDN[[#This Row],[SHARES
BOUGHT]]+DE_BKCDN[[#This Row],[SHARES 
SOLD]]</f>
        <v>0</v>
      </c>
      <c r="AC82" s="1113">
        <f>IF(S82=1,0,IF(M82="",0,IF(S82&gt;1,SUMIF($M$8:AE81,M82,$AE$8:AE81)+SUMIF($M$8:AE81,M82,$AD$8:AD81),0)))</f>
        <v>0</v>
      </c>
      <c r="AD82" s="1114">
        <f t="shared" si="40"/>
        <v>0</v>
      </c>
      <c r="AE82" s="1115">
        <f t="shared" si="41"/>
        <v>0</v>
      </c>
      <c r="AF82" s="1116">
        <f t="shared" si="42"/>
        <v>0</v>
      </c>
      <c r="AG82" s="1117">
        <f t="shared" si="43"/>
        <v>0</v>
      </c>
      <c r="AH82" s="1115">
        <f>DE_BKCDN[[#This Row],[PROCEEDS]]-DE_BKCDN[[#This Row],[SOLD]]</f>
        <v>0</v>
      </c>
      <c r="AI82" s="1118" t="str">
        <f t="shared" si="44"/>
        <v/>
      </c>
      <c r="AJ82" s="1119" t="str">
        <f>IF(E82="S", DATEDIF(_xlfn.MAXIFS($F$10:F82, $D$10:D82, D82, $AB$10:AB82, "&gt;0"), F82, "d"), "")</f>
        <v/>
      </c>
      <c r="AK82" s="1118" t="str">
        <f>IF(O82="H",DE_BKCDN[[#This Row],[DATE]],"")</f>
        <v/>
      </c>
      <c r="AL82" s="1120" t="str">
        <f t="shared" si="47"/>
        <v/>
      </c>
      <c r="AM82" s="1121">
        <f t="shared" si="48"/>
        <v>0</v>
      </c>
      <c r="AN82" s="1122">
        <v>0</v>
      </c>
      <c r="AO82" s="1122">
        <f>IFERROR(DE_BKCDN[[#This Row],[MKT]]*DE_BKCDN[[#This Row],[HOLDINGS]],0)</f>
        <v>0</v>
      </c>
      <c r="AP82" s="1123" t="str">
        <f t="shared" si="45"/>
        <v xml:space="preserve"> </v>
      </c>
      <c r="AQ82" s="159" t="s">
        <v>0</v>
      </c>
      <c r="AR82" s="159"/>
    </row>
    <row r="83" spans="1:44" ht="15.75" customHeight="1">
      <c r="A83" s="177"/>
      <c r="B83" s="1176">
        <v>272</v>
      </c>
      <c r="C83" s="194" t="str">
        <f t="shared" ref="C83:C98" si="52">$C$5</f>
        <v>BK-CDN</v>
      </c>
      <c r="D83" s="155" t="s">
        <v>0</v>
      </c>
      <c r="E83" s="155" t="s">
        <v>0</v>
      </c>
      <c r="F83" s="180" t="s">
        <v>0</v>
      </c>
      <c r="G83" s="1096" t="str">
        <f t="shared" ref="G83:G84" si="53">IF(H83&lt;&gt;0,J83/H83*-1," ")</f>
        <v xml:space="preserve"> </v>
      </c>
      <c r="H83" s="182">
        <v>0</v>
      </c>
      <c r="I83" s="183"/>
      <c r="J83" s="184">
        <v>0</v>
      </c>
      <c r="K83" s="1095">
        <f t="shared" si="46"/>
        <v>-5402.1099999999988</v>
      </c>
      <c r="L83" s="1100" t="str" cm="1">
        <f t="array" ref="L83">IFERROR(INDEX(M_TRX_TYPE[#Data], U83, MATCH($C$5,M_TRX_TYPE[#Headers], 0)), "")</f>
        <v/>
      </c>
      <c r="M83" s="1102" t="str">
        <f t="shared" ref="M83:M84" si="54">IF(OR(E83="O",E83="B",E83="S"),D83,"")</f>
        <v/>
      </c>
      <c r="N83" s="1103">
        <f>IF((O83="H"),(MAX($N$8:N82)+1),0)</f>
        <v>0</v>
      </c>
      <c r="O83" s="1204" t="str">
        <f t="shared" si="49"/>
        <v/>
      </c>
      <c r="P83" s="1105" cm="1">
        <f t="array" ref="P83">MAX(IF($D$10:$D$84=D83, $S$10:$S$84))</f>
        <v>0</v>
      </c>
      <c r="Q83" s="1106">
        <f>IF((E83="B"),(MAX($Q$6:Q82)+1),0)</f>
        <v>0</v>
      </c>
      <c r="R83" s="1106">
        <f>IF((AG83&lt;0),(MAX($R$8:$R82)+1),0)</f>
        <v>0</v>
      </c>
      <c r="S83" s="1086">
        <f>IF((M83=""),0,COUNTIF($M$8:M83,M83))</f>
        <v>0</v>
      </c>
      <c r="T83" s="1086" t="str">
        <f>IFERROR(MATCH(M83,M_SYMBOL[SYMBOL],0),"")</f>
        <v/>
      </c>
      <c r="U83" s="1070" t="str">
        <f>IFERROR(MATCH(E83,M_TRX_TYPE[TYPE],0),"")</f>
        <v/>
      </c>
      <c r="V83" s="1107">
        <f t="shared" ref="V83:V84" si="55">IF((E83="O"),H83,0)</f>
        <v>0</v>
      </c>
      <c r="W83" s="1095">
        <f t="shared" ref="W83:W84" si="56">IF((E83="O"),J83,IF(E83="OC",J83,0))</f>
        <v>0</v>
      </c>
      <c r="X83" s="1108">
        <f t="shared" ref="X83:X84" si="57">IF(OR(E83="O",E83="OC"),0,J83*-1)</f>
        <v>0</v>
      </c>
      <c r="Y83" s="1109">
        <f>IF(S83=1,0,IF(M83="",0,IF(S83&gt;1,(SUMIF($M$8:Z82,M83,$Z$8:Z82))+(SUMIF($M$8:Z82,M83,$AA$8:AA82)),0)))</f>
        <v>0</v>
      </c>
      <c r="Z83" s="1110">
        <f t="shared" ref="Z83:Z84" si="58">IF(E83="B",H83,IF(E83="O",H83,0))</f>
        <v>0</v>
      </c>
      <c r="AA83" s="1111">
        <f t="shared" ref="AA83:AA84" si="59">IF(E83="S",H83,0)</f>
        <v>0</v>
      </c>
      <c r="AB83" s="1112">
        <f>DE_BKCDN[[#This Row],[PREVIOUS
UNITS]]+DE_BKCDN[[#This Row],[SHARES
BOUGHT]]+DE_BKCDN[[#This Row],[SHARES 
SOLD]]</f>
        <v>0</v>
      </c>
      <c r="AC83" s="1113">
        <f>IF(S83=1,0,IF(M83="",0,IF(S83&gt;1,SUMIF($M$8:AE82,M83,$AE$8:AE82)+SUMIF($M$8:AE82,M83,$AD$8:AD82),0)))</f>
        <v>0</v>
      </c>
      <c r="AD83" s="1114">
        <f t="shared" ref="AD83:AD84" si="60">IF(M83="",0,IF(OR(E83="B",E83="O"),J83*-1,0))</f>
        <v>0</v>
      </c>
      <c r="AE83" s="1115">
        <f t="shared" ref="AE83:AE84" si="61">IF(E83="S",(AC83/Y83)*H83,0)</f>
        <v>0</v>
      </c>
      <c r="AF83" s="1116">
        <f t="shared" ref="AF83:AF84" si="62">AC83+AD83+AE83</f>
        <v>0</v>
      </c>
      <c r="AG83" s="1117">
        <f t="shared" ref="AG83:AG84" si="63">IF(M83="",0,IF(OR(E83="S"),J83*-1,0))</f>
        <v>0</v>
      </c>
      <c r="AH83" s="1115">
        <f>DE_BKCDN[[#This Row],[PROCEEDS]]-DE_BKCDN[[#This Row],[SOLD]]</f>
        <v>0</v>
      </c>
      <c r="AI83" s="1118" t="str">
        <f t="shared" si="44"/>
        <v/>
      </c>
      <c r="AJ83" s="1119" t="str">
        <f>IF(E83="S", DATEDIF(_xlfn.MAXIFS($F$10:F83, $D$10:D83, D83, $AB$10:AB83, "&gt;0"), F83, "d"), "")</f>
        <v/>
      </c>
      <c r="AK83" s="1118" t="str">
        <f>IF(O83="H",DE_BKCDN[[#This Row],[DATE]],"")</f>
        <v/>
      </c>
      <c r="AL83" s="1120" t="str">
        <f t="shared" si="47"/>
        <v/>
      </c>
      <c r="AM83" s="1121">
        <f t="shared" si="48"/>
        <v>0</v>
      </c>
      <c r="AN83" s="1122">
        <v>0</v>
      </c>
      <c r="AO83" s="1122">
        <f>IFERROR(DE_BKCDN[[#This Row],[MKT]]*DE_BKCDN[[#This Row],[HOLDINGS]],0)</f>
        <v>0</v>
      </c>
      <c r="AP83" s="1123" t="str">
        <f t="shared" ref="AP83:AP84" si="64">IF(E83="D",J83," ")</f>
        <v xml:space="preserve"> </v>
      </c>
      <c r="AR83" s="159"/>
    </row>
    <row r="84" spans="1:44" ht="15.75" customHeight="1" thickBot="1">
      <c r="A84" s="177"/>
      <c r="B84" s="1177">
        <v>273</v>
      </c>
      <c r="C84" s="747" t="str">
        <f t="shared" si="52"/>
        <v>BK-CDN</v>
      </c>
      <c r="D84" s="630" t="s">
        <v>0</v>
      </c>
      <c r="E84" s="630" t="s">
        <v>0</v>
      </c>
      <c r="F84" s="631" t="s">
        <v>0</v>
      </c>
      <c r="G84" s="1097" t="str">
        <f t="shared" si="53"/>
        <v xml:space="preserve"> </v>
      </c>
      <c r="H84" s="632">
        <v>0</v>
      </c>
      <c r="I84" s="633"/>
      <c r="J84" s="634">
        <v>0</v>
      </c>
      <c r="K84" s="1098">
        <f t="shared" ref="K84" si="65">IF((E84="O"),K83,(K83+J84))</f>
        <v>-5402.1099999999988</v>
      </c>
      <c r="L84" s="1101" t="str" cm="1">
        <f t="array" ref="L84">IFERROR(INDEX(M_TRX_TYPE[#Data], U84, MATCH($C$5,M_TRX_TYPE[#Headers], 0)), "")</f>
        <v/>
      </c>
      <c r="M84" s="1102" t="str">
        <f t="shared" si="54"/>
        <v/>
      </c>
      <c r="N84" s="1124">
        <f>IF((O84="H"),(MAX($N$8:N83)+1),0)</f>
        <v>0</v>
      </c>
      <c r="O84" s="1204" t="str">
        <f t="shared" si="49"/>
        <v/>
      </c>
      <c r="P84" s="1105" cm="1">
        <f t="array" ref="P84">MAX(IF($D$10:$D$84=D84, $S$10:$S$84))</f>
        <v>0</v>
      </c>
      <c r="Q84" s="1106">
        <f>IF((E84="B"),(MAX($Q$6:Q83)+1),0)</f>
        <v>0</v>
      </c>
      <c r="R84" s="1106">
        <f>IF((AG84&lt;0),(MAX($R$8:$R83)+1),0)</f>
        <v>0</v>
      </c>
      <c r="S84" s="1086">
        <f>IF((M84=""),0,COUNTIF($M$8:M84,M84))</f>
        <v>0</v>
      </c>
      <c r="T84" s="1086" t="str">
        <f>IFERROR(MATCH(M84,M_SYMBOL[SYMBOL],0),"")</f>
        <v/>
      </c>
      <c r="U84" s="1070" t="str">
        <f>IFERROR(MATCH(E84,M_TRX_TYPE[TYPE],0),"")</f>
        <v/>
      </c>
      <c r="V84" s="1107">
        <f t="shared" si="55"/>
        <v>0</v>
      </c>
      <c r="W84" s="1095">
        <f t="shared" si="56"/>
        <v>0</v>
      </c>
      <c r="X84" s="1108">
        <f t="shared" si="57"/>
        <v>0</v>
      </c>
      <c r="Y84" s="1109">
        <f>IF(S84=1,0,IF(M84="",0,IF(S84&gt;1,(SUMIF($M$8:Z83,M84,$Z$8:Z83))+(SUMIF($M$8:Z83,M84,$AA$8:AA83)),0)))</f>
        <v>0</v>
      </c>
      <c r="Z84" s="1110">
        <f t="shared" si="58"/>
        <v>0</v>
      </c>
      <c r="AA84" s="1111">
        <f t="shared" si="59"/>
        <v>0</v>
      </c>
      <c r="AB84" s="1112">
        <f>DE_BKCDN[[#This Row],[PREVIOUS
UNITS]]+DE_BKCDN[[#This Row],[SHARES
BOUGHT]]+DE_BKCDN[[#This Row],[SHARES 
SOLD]]</f>
        <v>0</v>
      </c>
      <c r="AC84" s="1113">
        <f>IF(S84=1,0,IF(M84="",0,IF(S84&gt;1,SUMIF($M$8:AE83,M84,$AE$8:AE83)+SUMIF($M$8:AE83,M84,$AD$8:AD83),0)))</f>
        <v>0</v>
      </c>
      <c r="AD84" s="1114">
        <f t="shared" si="60"/>
        <v>0</v>
      </c>
      <c r="AE84" s="1115">
        <f t="shared" si="61"/>
        <v>0</v>
      </c>
      <c r="AF84" s="1116">
        <f t="shared" si="62"/>
        <v>0</v>
      </c>
      <c r="AG84" s="1117">
        <f t="shared" si="63"/>
        <v>0</v>
      </c>
      <c r="AH84" s="1115">
        <f>DE_BKCDN[[#This Row],[PROCEEDS]]-DE_BKCDN[[#This Row],[SOLD]]</f>
        <v>0</v>
      </c>
      <c r="AI84" s="1118" t="str">
        <f t="shared" si="44"/>
        <v/>
      </c>
      <c r="AJ84" s="1119" t="str">
        <f>IF(E84="S", DATEDIF(_xlfn.MAXIFS($F$10:F84, $D$10:D84, D84, $AB$10:AB84, "&gt;0"), F84, "d"), "")</f>
        <v/>
      </c>
      <c r="AK84" s="1118" t="str">
        <f>IF(O84="H",DE_BKCDN[[#This Row],[DATE]],"")</f>
        <v/>
      </c>
      <c r="AL84" s="1125" t="str">
        <f t="shared" si="47"/>
        <v/>
      </c>
      <c r="AM84" s="1121">
        <f t="shared" si="48"/>
        <v>0</v>
      </c>
      <c r="AN84" s="1126">
        <v>0</v>
      </c>
      <c r="AO84" s="1122">
        <f>IFERROR(DE_BKCDN[[#This Row],[MKT]]*DE_BKCDN[[#This Row],[HOLDINGS]],0)</f>
        <v>0</v>
      </c>
      <c r="AP84" s="1123" t="str">
        <f t="shared" si="64"/>
        <v xml:space="preserve"> </v>
      </c>
      <c r="AR84" s="159"/>
    </row>
    <row r="85" spans="1:44" ht="15.75" customHeight="1" thickTop="1">
      <c r="A85" s="177"/>
      <c r="B85" s="299" t="s">
        <v>0</v>
      </c>
      <c r="C85" s="194" t="str">
        <f t="shared" si="52"/>
        <v>BK-CDN</v>
      </c>
      <c r="D85" s="155" t="s">
        <v>228</v>
      </c>
      <c r="E85" s="155">
        <v>999</v>
      </c>
      <c r="F85" s="180" t="s">
        <v>0</v>
      </c>
      <c r="G85" s="181" t="s">
        <v>0</v>
      </c>
      <c r="H85" s="182" t="s">
        <v>0</v>
      </c>
      <c r="I85" s="183"/>
      <c r="J85" s="184" t="s">
        <v>0</v>
      </c>
      <c r="K85" s="1099">
        <f>K84</f>
        <v>-5402.1099999999988</v>
      </c>
      <c r="L85" s="635" t="s">
        <v>0</v>
      </c>
      <c r="M85" s="1127" t="s">
        <v>0</v>
      </c>
      <c r="N85" s="1103" t="s">
        <v>0</v>
      </c>
      <c r="O85" s="1127" t="s">
        <v>0</v>
      </c>
      <c r="P85" s="1127"/>
      <c r="Q85" s="1127"/>
      <c r="R85" s="1127"/>
      <c r="S85" s="1127"/>
      <c r="T85" s="1127" t="str">
        <f>IFERROR(MATCH(M85,M_SYMBOL[SYMBOL],0),"")</f>
        <v/>
      </c>
      <c r="U85" s="1127"/>
      <c r="V85" s="1102" t="s">
        <v>0</v>
      </c>
      <c r="W85" s="1128"/>
      <c r="X85" s="1129"/>
      <c r="Y85" s="1127"/>
      <c r="Z85" s="1127"/>
      <c r="AA85" s="1127"/>
      <c r="AB85" s="1127"/>
      <c r="AC85" s="1127"/>
      <c r="AD85" s="1127">
        <f>SUBTOTAL(109,AD10:AD84)</f>
        <v>135579.75999999998</v>
      </c>
      <c r="AE85" s="1130">
        <f ca="1">SUBTOTAL(109,AE10:AE84)</f>
        <v>-109667.00999999998</v>
      </c>
      <c r="AF85" s="1131" t="s">
        <v>0</v>
      </c>
      <c r="AG85" s="1131">
        <f>SUBTOTAL(109,AG10:AG84)</f>
        <v>-109486.56000000001</v>
      </c>
      <c r="AH85" s="1131">
        <f ca="1">SUBTOTAL(109,AH10:AH84)</f>
        <v>180.45000000000505</v>
      </c>
      <c r="AI85" s="1127"/>
      <c r="AJ85" s="1127"/>
      <c r="AK85" s="1132" t="str">
        <f>IF(O85="H",DE_BKCDN[[#This Row],[DATE]],"")</f>
        <v/>
      </c>
      <c r="AL85" s="1133">
        <f ca="1">COUNT(AL10:AL84)</f>
        <v>4</v>
      </c>
      <c r="AM85" s="1130">
        <f ca="1">SUBTOTAL(109,AM10:AM84)</f>
        <v>25912.75</v>
      </c>
      <c r="AN85" s="1122" t="s">
        <v>0</v>
      </c>
      <c r="AO85" s="1134"/>
      <c r="AP85" s="1134">
        <f>SUBTOTAL(109,AP10:AP84)</f>
        <v>421.71</v>
      </c>
      <c r="AR85" s="159"/>
    </row>
    <row r="86" spans="1:44" ht="15.75" customHeight="1">
      <c r="A86" s="177"/>
      <c r="C86" s="194" t="s">
        <v>0</v>
      </c>
      <c r="D86" s="155" t="s">
        <v>0</v>
      </c>
      <c r="E86" s="155" t="s">
        <v>0</v>
      </c>
      <c r="F86" s="180" t="s">
        <v>0</v>
      </c>
      <c r="G86" s="181" t="s">
        <v>0</v>
      </c>
      <c r="H86" s="182" t="s">
        <v>0</v>
      </c>
      <c r="I86" s="183"/>
      <c r="J86" s="184" t="s">
        <v>0</v>
      </c>
      <c r="L86" s="618" t="str" cm="1">
        <f t="array" ref="L86">IFERROR(INDEX(M_TRX_TYPE[#Data], U86, MATCH($C$5,M_TRX_TYPE[#Headers], 0)), "")</f>
        <v/>
      </c>
      <c r="N86" s="155" t="s">
        <v>0</v>
      </c>
      <c r="T86" s="155" t="str">
        <f>IFERROR(MATCH(M86,M_SYMBOL[SYMBOL],0),"")</f>
        <v/>
      </c>
      <c r="U86" s="155" t="s">
        <v>28</v>
      </c>
      <c r="V86" s="636"/>
      <c r="W86" s="171"/>
      <c r="X86" s="637"/>
      <c r="Y86" s="204"/>
      <c r="Z86" s="204"/>
      <c r="AA86" s="176"/>
      <c r="AB86" s="155"/>
      <c r="AC86" s="638"/>
      <c r="AD86" s="638"/>
      <c r="AE86" s="198">
        <f t="shared" ref="AE86:AE99" si="66">IF(E86="S",(AC86/Y86)*H86,0)</f>
        <v>0</v>
      </c>
      <c r="AF86" s="198"/>
      <c r="AG86" s="155"/>
      <c r="AH86" s="198"/>
      <c r="AJ86" s="171"/>
      <c r="AK86" s="171" t="str">
        <f>IF(O86="H",DE_BKCDN[[#This Row],[DATE]],"")</f>
        <v/>
      </c>
      <c r="AL86" s="639"/>
      <c r="AM86" s="640"/>
      <c r="AN86" s="619" t="s">
        <v>0</v>
      </c>
      <c r="AO86" s="638"/>
      <c r="AP86" s="172"/>
      <c r="AR86" s="159"/>
    </row>
    <row r="87" spans="1:44" ht="15.75" customHeight="1">
      <c r="A87" s="177"/>
      <c r="B87" s="1135">
        <v>2000</v>
      </c>
      <c r="C87" s="1136" t="str">
        <f t="shared" si="52"/>
        <v>BK-CDN</v>
      </c>
      <c r="D87" s="1135" t="s">
        <v>306</v>
      </c>
      <c r="E87" s="1086" t="s">
        <v>231</v>
      </c>
      <c r="F87" s="1137">
        <v>46022</v>
      </c>
      <c r="G87" s="1096" t="s">
        <v>0</v>
      </c>
      <c r="H87" s="1138" t="s">
        <v>0</v>
      </c>
      <c r="I87" s="1139"/>
      <c r="J87" s="1140" t="s">
        <v>0</v>
      </c>
      <c r="K87" s="1141"/>
      <c r="L87" s="1100" t="str" cm="1">
        <f t="array" ref="L87">IFERROR(INDEX(M_TRX_TYPE[#Data], U87, MATCH($C$5,M_TRX_TYPE[#Headers], 0)), "")</f>
        <v>1120 Broker CDN Cash</v>
      </c>
      <c r="M87" s="1142" t="s">
        <v>0</v>
      </c>
      <c r="N87" s="1103" t="s">
        <v>0</v>
      </c>
      <c r="O87" s="1142" t="s">
        <v>0</v>
      </c>
      <c r="P87" s="1135" t="s">
        <v>0</v>
      </c>
      <c r="Q87" s="1135" t="s">
        <v>0</v>
      </c>
      <c r="R87" s="1135"/>
      <c r="S87" s="1135" t="s">
        <v>0</v>
      </c>
      <c r="T87" s="1135" t="str">
        <f>IFERROR(MATCH(M87,M_SYMBOL[SYMBOL],0),"")</f>
        <v/>
      </c>
      <c r="U87" s="1070">
        <f>IFERROR(MATCH(E87,M_TRX_TYPE[TYPE],0),"")</f>
        <v>14</v>
      </c>
      <c r="V87" s="1102" t="s">
        <v>0</v>
      </c>
      <c r="W87" s="1128" t="s">
        <v>76</v>
      </c>
      <c r="X87" s="1143">
        <f>SUMIF($X$10:X84,"&gt;=0")*-1</f>
        <v>-112934.77000000002</v>
      </c>
      <c r="Y87" s="190"/>
      <c r="Z87" s="190"/>
      <c r="AA87" s="641"/>
      <c r="AB87" s="190"/>
      <c r="AC87" s="642"/>
      <c r="AD87" s="642"/>
      <c r="AE87" s="190">
        <f t="shared" si="66"/>
        <v>0</v>
      </c>
      <c r="AF87" s="190"/>
      <c r="AG87" s="190"/>
      <c r="AH87" s="190"/>
      <c r="AI87" s="190"/>
      <c r="AJ87" s="190"/>
      <c r="AK87" s="190" t="str">
        <f>IF(O87="H",DE_BKCDN[[#This Row],[DATE]],"")</f>
        <v/>
      </c>
      <c r="AL87" s="643"/>
      <c r="AM87" s="644"/>
      <c r="AN87" s="619" t="s">
        <v>0</v>
      </c>
      <c r="AO87" s="645"/>
      <c r="AP87" s="170"/>
      <c r="AR87" s="159"/>
    </row>
    <row r="88" spans="1:44" ht="15.75" customHeight="1">
      <c r="A88" s="177"/>
      <c r="B88" s="1135">
        <v>2001</v>
      </c>
      <c r="C88" s="1136" t="str">
        <f t="shared" si="52"/>
        <v>BK-CDN</v>
      </c>
      <c r="D88" s="1135" t="s">
        <v>305</v>
      </c>
      <c r="E88" s="1086" t="s">
        <v>232</v>
      </c>
      <c r="F88" s="1137">
        <v>46022</v>
      </c>
      <c r="G88" s="1096" t="s">
        <v>0</v>
      </c>
      <c r="H88" s="1138" t="s">
        <v>0</v>
      </c>
      <c r="I88" s="1139"/>
      <c r="J88" s="1140" t="s">
        <v>0</v>
      </c>
      <c r="K88" s="1141"/>
      <c r="L88" s="1100" t="str" cm="1">
        <f t="array" ref="L88">IFERROR(INDEX(M_TRX_TYPE[#Data], U88, MATCH($C$5,M_TRX_TYPE[#Headers], 0)), "")</f>
        <v>1120 Broker CDN Cash</v>
      </c>
      <c r="M88" s="1142" t="s">
        <v>0</v>
      </c>
      <c r="N88" s="1103" t="s">
        <v>0</v>
      </c>
      <c r="O88" s="1142" t="s">
        <v>0</v>
      </c>
      <c r="P88" s="1135" t="s">
        <v>0</v>
      </c>
      <c r="Q88" s="1135" t="s">
        <v>0</v>
      </c>
      <c r="R88" s="1135"/>
      <c r="S88" s="1135" t="s">
        <v>0</v>
      </c>
      <c r="T88" s="1135" t="str">
        <f>IFERROR(MATCH(M88,M_SYMBOL[SYMBOL],0),"")</f>
        <v/>
      </c>
      <c r="U88" s="1070">
        <f>IFERROR(MATCH(E88,M_TRX_TYPE[TYPE],0),"")</f>
        <v>15</v>
      </c>
      <c r="V88" s="1102" t="s">
        <v>0</v>
      </c>
      <c r="W88" s="1128" t="s">
        <v>77</v>
      </c>
      <c r="X88" s="1143">
        <f>SUMIF($X$10:X84,"&lt;=0")*-1</f>
        <v>110311.23999999999</v>
      </c>
      <c r="Y88" s="190"/>
      <c r="Z88" s="190"/>
      <c r="AA88" s="641"/>
      <c r="AB88" s="190"/>
      <c r="AC88" s="642"/>
      <c r="AD88" s="642"/>
      <c r="AE88" s="190">
        <f t="shared" si="66"/>
        <v>0</v>
      </c>
      <c r="AF88" s="190"/>
      <c r="AG88" s="190"/>
      <c r="AH88" s="190"/>
      <c r="AI88" s="190"/>
      <c r="AJ88" s="190" t="s">
        <v>0</v>
      </c>
      <c r="AK88" s="190" t="str">
        <f>IF(O88="H",DE_BKCDN[[#This Row],[DATE]],"")</f>
        <v/>
      </c>
      <c r="AL88" s="643"/>
      <c r="AM88" s="644"/>
      <c r="AN88" s="619" t="s">
        <v>0</v>
      </c>
      <c r="AO88" s="645"/>
      <c r="AP88" s="170"/>
      <c r="AR88" s="159"/>
    </row>
    <row r="89" spans="1:44" ht="15.75" customHeight="1">
      <c r="A89" s="177"/>
      <c r="B89" s="1135">
        <v>2002</v>
      </c>
      <c r="C89" s="1136" t="str">
        <f t="shared" si="52"/>
        <v>BK-CDN</v>
      </c>
      <c r="D89" s="1135" t="s">
        <v>307</v>
      </c>
      <c r="E89" s="1086" t="s">
        <v>239</v>
      </c>
      <c r="F89" s="1137">
        <v>46022</v>
      </c>
      <c r="G89" s="1096" t="s">
        <v>0</v>
      </c>
      <c r="H89" s="1138" t="s">
        <v>0</v>
      </c>
      <c r="I89" s="1139"/>
      <c r="J89" s="1140" t="s">
        <v>0</v>
      </c>
      <c r="K89" s="1141"/>
      <c r="L89" s="1100" t="str" cm="1">
        <f t="array" ref="L89">IFERROR(INDEX(M_TRX_TYPE[#Data], U89, MATCH($C$5,M_TRX_TYPE[#Headers], 0)), "")</f>
        <v>4156 Cost of CDN Securities Sold</v>
      </c>
      <c r="M89" s="1142" t="s">
        <v>0</v>
      </c>
      <c r="N89" s="1142"/>
      <c r="O89" s="1142" t="s">
        <v>0</v>
      </c>
      <c r="P89" s="1135" t="s">
        <v>0</v>
      </c>
      <c r="Q89" s="1135" t="s">
        <v>0</v>
      </c>
      <c r="R89" s="1135"/>
      <c r="S89" s="1135" t="s">
        <v>0</v>
      </c>
      <c r="T89" s="1135" t="str">
        <f>IFERROR(MATCH(M89,M_SYMBOL[SYMBOL],0),"")</f>
        <v/>
      </c>
      <c r="U89" s="1070">
        <f>IFERROR(MATCH(E89,M_TRX_TYPE[TYPE],0),"")</f>
        <v>18</v>
      </c>
      <c r="V89" s="1102" t="s">
        <v>0</v>
      </c>
      <c r="W89" s="1144" t="s">
        <v>239</v>
      </c>
      <c r="X89" s="1108">
        <f ca="1">SUM(AE10:AE84)*-1</f>
        <v>109667.00999999998</v>
      </c>
      <c r="Y89" s="190"/>
      <c r="Z89" s="190"/>
      <c r="AA89" s="641"/>
      <c r="AB89" s="190"/>
      <c r="AC89" s="642"/>
      <c r="AD89" s="642"/>
      <c r="AE89" s="190">
        <f t="shared" si="66"/>
        <v>0</v>
      </c>
      <c r="AF89" s="190"/>
      <c r="AG89" s="190"/>
      <c r="AH89" s="190"/>
      <c r="AI89" s="190"/>
      <c r="AJ89" s="190"/>
      <c r="AK89" s="190" t="str">
        <f>IF(O89="H",DE_BKCDN[[#This Row],[DATE]],"")</f>
        <v/>
      </c>
      <c r="AL89" s="643"/>
      <c r="AM89" s="644"/>
      <c r="AN89" s="619" t="s">
        <v>0</v>
      </c>
      <c r="AO89" s="645"/>
      <c r="AP89" s="170"/>
      <c r="AR89" s="159"/>
    </row>
    <row r="90" spans="1:44" ht="15.75" customHeight="1">
      <c r="A90" s="177"/>
      <c r="B90" s="1135">
        <v>2003</v>
      </c>
      <c r="C90" s="1136" t="str">
        <f t="shared" si="52"/>
        <v>BK-CDN</v>
      </c>
      <c r="D90" s="1135" t="s">
        <v>308</v>
      </c>
      <c r="E90" s="1086" t="s">
        <v>26</v>
      </c>
      <c r="F90" s="1137">
        <v>46022</v>
      </c>
      <c r="G90" s="1145" t="str">
        <f t="shared" ref="G90:G93" si="67">IF(H90&lt;&gt;0,J90/H90*-1," ")</f>
        <v xml:space="preserve"> </v>
      </c>
      <c r="H90" s="1141"/>
      <c r="I90" s="1141"/>
      <c r="J90" s="1141"/>
      <c r="K90" s="1141"/>
      <c r="L90" s="1100" t="str" cm="1">
        <f t="array" ref="L90">IFERROR(INDEX(M_TRX_TYPE[#Data], U90, MATCH($C$5,M_TRX_TYPE[#Headers], 0)), "")</f>
        <v>1131 Broker CDN Securities</v>
      </c>
      <c r="M90" s="1142" t="s">
        <v>0</v>
      </c>
      <c r="N90" s="1142"/>
      <c r="O90" s="1142" t="s">
        <v>0</v>
      </c>
      <c r="P90" s="1135" t="s">
        <v>0</v>
      </c>
      <c r="Q90" s="1135" t="s">
        <v>0</v>
      </c>
      <c r="R90" s="1135"/>
      <c r="S90" s="1135" t="s">
        <v>0</v>
      </c>
      <c r="T90" s="1135" t="str">
        <f>IFERROR(MATCH(M90,M_SYMBOL[SYMBOL],0),"")</f>
        <v/>
      </c>
      <c r="U90" s="1070">
        <f>IFERROR(MATCH(E90,M_TRX_TYPE[TYPE],0),"")</f>
        <v>5</v>
      </c>
      <c r="V90" s="1102" t="s">
        <v>0</v>
      </c>
      <c r="W90" s="1144" t="s">
        <v>26</v>
      </c>
      <c r="X90" s="1108">
        <f ca="1">SUM(AE10:AE84)</f>
        <v>-109667.00999999998</v>
      </c>
      <c r="Y90" s="190"/>
      <c r="Z90" s="190"/>
      <c r="AA90" s="641"/>
      <c r="AB90" s="190"/>
      <c r="AC90" s="642"/>
      <c r="AD90" s="642"/>
      <c r="AE90" s="190">
        <f t="shared" si="66"/>
        <v>0</v>
      </c>
      <c r="AF90" s="190"/>
      <c r="AG90" s="190"/>
      <c r="AH90" s="190"/>
      <c r="AI90" s="190"/>
      <c r="AJ90" s="190"/>
      <c r="AK90" s="190" t="str">
        <f>IF(O90="H",DE_BKCDN[[#This Row],[DATE]],"")</f>
        <v/>
      </c>
      <c r="AL90" s="643"/>
      <c r="AM90" s="644"/>
      <c r="AN90" s="619" t="s">
        <v>0</v>
      </c>
      <c r="AO90" s="645"/>
      <c r="AP90" s="170"/>
      <c r="AR90" s="159"/>
    </row>
    <row r="91" spans="1:44" ht="15.75" customHeight="1">
      <c r="A91" s="177"/>
      <c r="B91" s="1135" t="s">
        <v>0</v>
      </c>
      <c r="C91" s="1136" t="s">
        <v>0</v>
      </c>
      <c r="D91" s="1135"/>
      <c r="E91" s="1135" t="s">
        <v>0</v>
      </c>
      <c r="F91" s="1135"/>
      <c r="G91" s="1142" t="str">
        <f t="shared" si="67"/>
        <v xml:space="preserve"> </v>
      </c>
      <c r="H91" s="1135"/>
      <c r="I91" s="1135"/>
      <c r="J91" s="1135"/>
      <c r="K91" s="1135"/>
      <c r="L91" s="1100" t="str" cm="1">
        <f t="array" ref="L91">IFERROR(INDEX(M_TRX_TYPE[#Data], U91, MATCH($C$5,M_TRX_TYPE[#Headers], 0)), "")</f>
        <v/>
      </c>
      <c r="M91" s="1135" t="s">
        <v>0</v>
      </c>
      <c r="N91" s="1135"/>
      <c r="O91" s="1103" t="s">
        <v>0</v>
      </c>
      <c r="P91" s="1135" t="s">
        <v>0</v>
      </c>
      <c r="Q91" s="1135" t="s">
        <v>0</v>
      </c>
      <c r="R91" s="1135" t="s">
        <v>0</v>
      </c>
      <c r="S91" s="1135" t="s">
        <v>0</v>
      </c>
      <c r="T91" s="1135" t="str">
        <f>IFERROR(MATCH(M91,M_SYMBOL[SYMBOL],0),"")</f>
        <v/>
      </c>
      <c r="U91" s="1135" t="s">
        <v>28</v>
      </c>
      <c r="V91" s="1102" t="s">
        <v>0</v>
      </c>
      <c r="W91" s="1128" t="s">
        <v>0</v>
      </c>
      <c r="X91" s="1129"/>
      <c r="Y91" s="190"/>
      <c r="Z91" s="190"/>
      <c r="AA91" s="641"/>
      <c r="AB91" s="190"/>
      <c r="AC91" s="642"/>
      <c r="AD91" s="642"/>
      <c r="AE91" s="190">
        <f t="shared" si="66"/>
        <v>0</v>
      </c>
      <c r="AF91" s="190"/>
      <c r="AG91" s="190"/>
      <c r="AH91" s="190"/>
      <c r="AI91" s="190"/>
      <c r="AJ91" s="190"/>
      <c r="AK91" s="190" t="str">
        <f>IF(O91="H",DE_BKCDN[[#This Row],[DATE]],"")</f>
        <v/>
      </c>
      <c r="AL91" s="643"/>
      <c r="AM91" s="646"/>
      <c r="AN91" s="619" t="s">
        <v>0</v>
      </c>
      <c r="AO91" s="645"/>
      <c r="AP91" s="170"/>
      <c r="AR91" s="159"/>
    </row>
    <row r="92" spans="1:44" ht="15.75" customHeight="1">
      <c r="A92" s="177"/>
      <c r="B92" s="1135">
        <v>2004</v>
      </c>
      <c r="C92" s="1136" t="str">
        <f t="shared" si="52"/>
        <v>BK-CDN</v>
      </c>
      <c r="D92" s="1135" t="s">
        <v>838</v>
      </c>
      <c r="E92" s="1086" t="s">
        <v>229</v>
      </c>
      <c r="F92" s="1137">
        <v>45658</v>
      </c>
      <c r="G92" s="1142" t="str">
        <f t="shared" si="67"/>
        <v xml:space="preserve"> </v>
      </c>
      <c r="H92" s="1135"/>
      <c r="I92" s="1135"/>
      <c r="J92" s="1135"/>
      <c r="K92" s="1135"/>
      <c r="L92" s="1100" t="str" cm="1">
        <f t="array" ref="L92">IFERROR(INDEX(M_TRX_TYPE[#Data], U92, MATCH($C$5,M_TRX_TYPE[#Headers], 0)), "")</f>
        <v>1119 Bank Transfer Account</v>
      </c>
      <c r="M92" s="1142" t="s">
        <v>0</v>
      </c>
      <c r="N92" s="1103" t="s">
        <v>0</v>
      </c>
      <c r="O92" s="1103" t="s">
        <v>0</v>
      </c>
      <c r="P92" s="1135" t="s">
        <v>0</v>
      </c>
      <c r="Q92" s="1135" t="s">
        <v>0</v>
      </c>
      <c r="R92" s="1135"/>
      <c r="S92" s="1135" t="s">
        <v>0</v>
      </c>
      <c r="T92" s="1135" t="str">
        <f>IFERROR(MATCH(M92,M_SYMBOL[SYMBOL],0),"")</f>
        <v/>
      </c>
      <c r="U92" s="1070">
        <f>IFERROR(MATCH(E92,M_TRX_TYPE[TYPE],0),"")</f>
        <v>17</v>
      </c>
      <c r="V92" s="1102" t="s">
        <v>0</v>
      </c>
      <c r="W92" s="1146" t="s">
        <v>766</v>
      </c>
      <c r="X92" s="1129">
        <f>W10</f>
        <v>-2778.58</v>
      </c>
      <c r="Y92" s="187"/>
      <c r="Z92" s="187"/>
      <c r="AA92" s="641"/>
      <c r="AB92" s="190"/>
      <c r="AC92" s="642"/>
      <c r="AD92" s="642"/>
      <c r="AE92" s="190">
        <f t="shared" si="66"/>
        <v>0</v>
      </c>
      <c r="AF92" s="190"/>
      <c r="AG92" s="190"/>
      <c r="AH92" s="190"/>
      <c r="AI92" s="190"/>
      <c r="AJ92" s="190"/>
      <c r="AK92" s="190" t="str">
        <f>IF(O92="H",DE_BKCDN[[#This Row],[DATE]],"")</f>
        <v/>
      </c>
      <c r="AL92" s="643"/>
      <c r="AM92" s="644"/>
      <c r="AN92" s="619" t="s">
        <v>0</v>
      </c>
      <c r="AO92" s="645"/>
      <c r="AP92" s="170"/>
      <c r="AR92" s="159"/>
    </row>
    <row r="93" spans="1:44" ht="15.75" customHeight="1">
      <c r="A93" s="177"/>
      <c r="B93" s="1135">
        <v>2005</v>
      </c>
      <c r="C93" s="1136" t="str">
        <f t="shared" si="52"/>
        <v>BK-CDN</v>
      </c>
      <c r="D93" s="1135" t="s">
        <v>839</v>
      </c>
      <c r="E93" s="1128" t="s">
        <v>23</v>
      </c>
      <c r="F93" s="1137">
        <v>45658</v>
      </c>
      <c r="G93" s="1142" t="str">
        <f t="shared" si="67"/>
        <v xml:space="preserve"> </v>
      </c>
      <c r="H93" s="1135"/>
      <c r="I93" s="1135"/>
      <c r="J93" s="1135"/>
      <c r="K93" s="1135"/>
      <c r="L93" s="1100" t="str" cm="1">
        <f t="array" ref="L93">IFERROR(INDEX(M_TRX_TYPE[#Data], U93, MATCH($C$5,M_TRX_TYPE[#Headers], 0)), "")</f>
        <v>1119 Bank Transfer Account</v>
      </c>
      <c r="M93" s="1142" t="s">
        <v>0</v>
      </c>
      <c r="N93" s="1142"/>
      <c r="O93" s="1103" t="s">
        <v>0</v>
      </c>
      <c r="P93" s="1135" t="s">
        <v>0</v>
      </c>
      <c r="Q93" s="1135" t="s">
        <v>0</v>
      </c>
      <c r="R93" s="1135"/>
      <c r="S93" s="1135" t="s">
        <v>0</v>
      </c>
      <c r="T93" s="1135" t="str">
        <f>IFERROR(MATCH(M93,M_SYMBOL[SYMBOL],0),"")</f>
        <v/>
      </c>
      <c r="U93" s="1070">
        <f>IFERROR(MATCH(E93,M_TRX_TYPE[TYPE],0),"")</f>
        <v>13</v>
      </c>
      <c r="V93" s="1102" t="s">
        <v>0</v>
      </c>
      <c r="W93" s="1128" t="s">
        <v>760</v>
      </c>
      <c r="X93" s="1129">
        <f>SUM(W11:W84)</f>
        <v>-22661.040000000001</v>
      </c>
      <c r="Y93" s="190"/>
      <c r="Z93" s="190"/>
      <c r="AA93" s="641"/>
      <c r="AB93" s="190"/>
      <c r="AC93" s="642"/>
      <c r="AD93" s="642"/>
      <c r="AE93" s="190">
        <f t="shared" si="66"/>
        <v>0</v>
      </c>
      <c r="AF93" s="190"/>
      <c r="AG93" s="190"/>
      <c r="AH93" s="190"/>
      <c r="AI93" s="190"/>
      <c r="AJ93" s="190"/>
      <c r="AK93" s="190" t="str">
        <f>IF(O93="H",DE_BKCDN[[#This Row],[DATE]],"")</f>
        <v/>
      </c>
      <c r="AL93" s="643"/>
      <c r="AM93" s="644"/>
      <c r="AN93" s="619" t="s">
        <v>0</v>
      </c>
      <c r="AO93" s="645"/>
      <c r="AP93" s="170"/>
      <c r="AR93" s="159"/>
    </row>
    <row r="94" spans="1:44" ht="15.75" customHeight="1">
      <c r="A94" s="177"/>
      <c r="B94" s="1135">
        <v>2006</v>
      </c>
      <c r="C94" s="1136" t="str">
        <f t="shared" si="52"/>
        <v>BK-CDN</v>
      </c>
      <c r="D94" s="1135" t="s">
        <v>840</v>
      </c>
      <c r="E94" s="1147" t="s">
        <v>230</v>
      </c>
      <c r="F94" s="1137">
        <v>45658</v>
      </c>
      <c r="G94" s="1142" t="str">
        <f>IF(H94&lt;&gt;0,J94/H94*-1," ")</f>
        <v xml:space="preserve"> </v>
      </c>
      <c r="H94" s="1135"/>
      <c r="I94" s="1135"/>
      <c r="J94" s="1135"/>
      <c r="K94" s="1135"/>
      <c r="L94" s="1100" t="str" cm="1">
        <f t="array" ref="L94">IFERROR(INDEX(M_TRX_TYPE[#Data], U94, MATCH($C$5,M_TRX_TYPE[#Headers], 0)), "")</f>
        <v>1119 Bank Transfer Account</v>
      </c>
      <c r="M94" s="1142"/>
      <c r="N94" s="1142"/>
      <c r="O94" s="1103"/>
      <c r="P94" s="1135"/>
      <c r="Q94" s="1135"/>
      <c r="R94" s="1135"/>
      <c r="S94" s="1135"/>
      <c r="T94" s="1135" t="str">
        <f>IFERROR(MATCH(M94,M_SYMBOL[SYMBOL],0),"")</f>
        <v/>
      </c>
      <c r="U94" s="1070">
        <f>IFERROR(MATCH(E94,M_TRX_TYPE[TYPE],0),"")</f>
        <v>1</v>
      </c>
      <c r="V94" s="1102"/>
      <c r="W94" s="1128" t="s">
        <v>841</v>
      </c>
      <c r="X94" s="1129">
        <f>(X92+X93)*-1</f>
        <v>25439.620000000003</v>
      </c>
      <c r="Y94" s="190"/>
      <c r="Z94" s="190"/>
      <c r="AA94" s="641"/>
      <c r="AB94" s="190"/>
      <c r="AC94" s="642"/>
      <c r="AD94" s="642"/>
      <c r="AE94" s="190">
        <f t="shared" si="66"/>
        <v>0</v>
      </c>
      <c r="AF94" s="190"/>
      <c r="AG94" s="190"/>
      <c r="AH94" s="190"/>
      <c r="AI94" s="190"/>
      <c r="AJ94" s="190"/>
      <c r="AK94" s="190" t="str">
        <f>IF(O94="H",DE_BKCDN[[#This Row],[DATE]],"")</f>
        <v/>
      </c>
      <c r="AL94" s="643"/>
      <c r="AM94" s="644"/>
      <c r="AN94" s="619" t="s">
        <v>0</v>
      </c>
      <c r="AO94" s="645"/>
      <c r="AP94" s="170"/>
      <c r="AR94" s="159"/>
    </row>
    <row r="95" spans="1:44" ht="15.75" customHeight="1">
      <c r="A95" s="177"/>
      <c r="B95" s="1135"/>
      <c r="C95" s="1136" t="s">
        <v>0</v>
      </c>
      <c r="D95" s="1135"/>
      <c r="E95" s="1135"/>
      <c r="F95" s="1137"/>
      <c r="G95" s="1142" t="str">
        <f>IF(H95&lt;&gt;0,J95/H95*-1," ")</f>
        <v xml:space="preserve"> </v>
      </c>
      <c r="H95" s="1135"/>
      <c r="I95" s="1135"/>
      <c r="J95" s="1135"/>
      <c r="K95" s="1135"/>
      <c r="L95" s="1100" t="e" cm="1" vm="13">
        <f t="array" aca="1" ref="L95" ca="1">IFERROR(INDEX(M_TRX_TYPE[#Data], U95, MATCH($C$5,M_TRX_TYPE[#Headers], 0)), "")</f>
        <v>#VALUE!</v>
      </c>
      <c r="M95" s="1148"/>
      <c r="N95" s="1142"/>
      <c r="O95" s="1103"/>
      <c r="P95" s="1135"/>
      <c r="Q95" s="1135"/>
      <c r="R95" s="1135"/>
      <c r="S95" s="1135"/>
      <c r="T95" s="1135" t="str">
        <f>IFERROR(MATCH(M95,M_SYMBOL[SYMBOL],0),"")</f>
        <v/>
      </c>
      <c r="U95" s="1135"/>
      <c r="V95" s="1102"/>
      <c r="W95" s="1128"/>
      <c r="X95" s="1129"/>
      <c r="Y95" s="190"/>
      <c r="Z95" s="190"/>
      <c r="AA95" s="641"/>
      <c r="AB95" s="190"/>
      <c r="AC95" s="642"/>
      <c r="AD95" s="642"/>
      <c r="AE95" s="190">
        <f t="shared" si="66"/>
        <v>0</v>
      </c>
      <c r="AF95" s="190"/>
      <c r="AG95" s="190"/>
      <c r="AH95" s="190"/>
      <c r="AI95" s="190"/>
      <c r="AJ95" s="190"/>
      <c r="AK95" s="190" t="str">
        <f>IF(O95="H",DE_BKCDN[[#This Row],[DATE]],"")</f>
        <v/>
      </c>
      <c r="AL95" s="643"/>
      <c r="AM95" s="644"/>
      <c r="AN95" s="619" t="s">
        <v>0</v>
      </c>
      <c r="AO95" s="645"/>
      <c r="AP95" s="170"/>
      <c r="AR95" s="159"/>
    </row>
    <row r="96" spans="1:44" ht="15.75" customHeight="1">
      <c r="A96" s="177"/>
      <c r="B96" s="1135">
        <v>300</v>
      </c>
      <c r="C96" s="1136" t="str">
        <f t="shared" si="52"/>
        <v>BK-CDN</v>
      </c>
      <c r="D96" s="1135" t="s">
        <v>842</v>
      </c>
      <c r="E96" s="1128" t="s">
        <v>843</v>
      </c>
      <c r="F96" s="1137">
        <v>46022</v>
      </c>
      <c r="G96" s="1142" t="str">
        <f t="shared" ref="G96" si="68">IF(H96&lt;&gt;0,J96/H96*-1," ")</f>
        <v xml:space="preserve"> </v>
      </c>
      <c r="H96" s="1135"/>
      <c r="I96" s="1135"/>
      <c r="J96" s="1135"/>
      <c r="K96" s="1142" t="s">
        <v>0</v>
      </c>
      <c r="L96" s="1100" t="str" cm="1">
        <f t="array" ref="L96">IFERROR(INDEX(M_TRX_TYPE[#Data], U96, MATCH($C$5,M_TRX_TYPE[#Headers], 0)), "")</f>
        <v/>
      </c>
      <c r="M96" s="1142"/>
      <c r="N96" s="1149" t="s">
        <v>0</v>
      </c>
      <c r="O96" s="1103"/>
      <c r="P96" s="1135"/>
      <c r="Q96" s="1135"/>
      <c r="R96" s="1135"/>
      <c r="S96" s="1135"/>
      <c r="T96" s="1135" t="str">
        <f>IFERROR(MATCH(M96,M_SYMBOL[SYMBOL],0),"")</f>
        <v/>
      </c>
      <c r="U96" s="1070" t="str">
        <f>IFERROR(MATCH(E96,M_TRX_TYPE[TYPE],0),"")</f>
        <v/>
      </c>
      <c r="V96" s="1102"/>
      <c r="W96" s="1128" t="s">
        <v>843</v>
      </c>
      <c r="X96" s="1129">
        <f>AO85*-1</f>
        <v>0</v>
      </c>
      <c r="Y96" s="190"/>
      <c r="Z96" s="190"/>
      <c r="AA96" s="641"/>
      <c r="AB96" s="190"/>
      <c r="AC96" s="642"/>
      <c r="AD96" s="642"/>
      <c r="AE96" s="190">
        <f t="shared" si="66"/>
        <v>0</v>
      </c>
      <c r="AF96" s="190"/>
      <c r="AG96" s="190"/>
      <c r="AH96" s="190"/>
      <c r="AI96" s="190"/>
      <c r="AJ96" s="190"/>
      <c r="AK96" s="190" t="str">
        <f>IF(O96="H",DE_BKCDN[[#This Row],[DATE]],"")</f>
        <v/>
      </c>
      <c r="AL96" s="643"/>
      <c r="AM96" s="644"/>
      <c r="AN96" s="619" t="s">
        <v>0</v>
      </c>
      <c r="AO96" s="645"/>
      <c r="AP96" s="170"/>
      <c r="AR96" s="159"/>
    </row>
    <row r="97" spans="1:44" ht="15.75" customHeight="1">
      <c r="A97" s="177"/>
      <c r="B97" s="1135">
        <v>301</v>
      </c>
      <c r="C97" s="1136" t="str">
        <f t="shared" si="52"/>
        <v>BK-CDN</v>
      </c>
      <c r="D97" s="1135" t="s">
        <v>844</v>
      </c>
      <c r="E97" s="1128" t="s">
        <v>845</v>
      </c>
      <c r="F97" s="1137">
        <v>46022</v>
      </c>
      <c r="G97" s="1142" t="str">
        <f>IF(H97&lt;&gt;0,J97/H97*-1," ")</f>
        <v xml:space="preserve"> </v>
      </c>
      <c r="H97" s="1135"/>
      <c r="I97" s="1135"/>
      <c r="J97" s="1135"/>
      <c r="K97" s="1135"/>
      <c r="L97" s="1100" t="str" cm="1">
        <f t="array" ref="L97">IFERROR(INDEX(M_TRX_TYPE[#Data], U97, MATCH($C$5,M_TRX_TYPE[#Headers], 0)), "")</f>
        <v/>
      </c>
      <c r="M97" s="1142"/>
      <c r="N97" s="1142" t="s">
        <v>0</v>
      </c>
      <c r="O97" s="1103" t="s">
        <v>0</v>
      </c>
      <c r="P97" s="1135"/>
      <c r="Q97" s="1135"/>
      <c r="R97" s="1135"/>
      <c r="S97" s="1135"/>
      <c r="T97" s="1135" t="str">
        <f>IFERROR(MATCH(M97,M_SYMBOL[SYMBOL],0),"")</f>
        <v/>
      </c>
      <c r="U97" s="1070" t="str">
        <f>IFERROR(MATCH(E97,M_TRX_TYPE[TYPE],0),"")</f>
        <v/>
      </c>
      <c r="V97" s="1102"/>
      <c r="W97" s="1128" t="s">
        <v>845</v>
      </c>
      <c r="X97" s="1129">
        <f ca="1">AM85</f>
        <v>25912.75</v>
      </c>
      <c r="Y97" s="190" t="s">
        <v>0</v>
      </c>
      <c r="Z97" s="190" t="s">
        <v>0</v>
      </c>
      <c r="AA97" s="641" t="s">
        <v>0</v>
      </c>
      <c r="AB97" s="190"/>
      <c r="AC97" s="642" t="s">
        <v>0</v>
      </c>
      <c r="AD97" s="642"/>
      <c r="AE97" s="190">
        <f t="shared" si="66"/>
        <v>0</v>
      </c>
      <c r="AF97" s="190" t="str">
        <f>IF(D97="","",IF(OR(E97="B",E97="O"),AD97+AC97,IF(OR(E97="D",E97="Fee"),AC97,IF(E97="S",AC97-AE97,""))))</f>
        <v/>
      </c>
      <c r="AG97" s="190"/>
      <c r="AH97" s="190" t="s">
        <v>0</v>
      </c>
      <c r="AI97" s="190"/>
      <c r="AJ97" s="190"/>
      <c r="AK97" s="190" t="str">
        <f>IF(O97="H",DE_BKCDN[[#This Row],[DATE]],"")</f>
        <v/>
      </c>
      <c r="AL97" s="643" t="s">
        <v>0</v>
      </c>
      <c r="AM97" s="644"/>
      <c r="AN97" s="619" t="s">
        <v>0</v>
      </c>
      <c r="AO97" s="645"/>
      <c r="AP97" s="170"/>
      <c r="AR97" s="159"/>
    </row>
    <row r="98" spans="1:44" ht="15.75" customHeight="1" thickBot="1">
      <c r="A98" s="177"/>
      <c r="B98" s="1135">
        <v>302</v>
      </c>
      <c r="C98" s="1136" t="str">
        <f t="shared" si="52"/>
        <v>BK-CDN</v>
      </c>
      <c r="D98" s="1135" t="s">
        <v>846</v>
      </c>
      <c r="E98" s="1128" t="s">
        <v>847</v>
      </c>
      <c r="F98" s="1137">
        <v>46022</v>
      </c>
      <c r="G98" s="1142" t="str">
        <f t="shared" ref="G98:G99" si="69">IF(H98&lt;&gt;0,J98/H98*-1," ")</f>
        <v xml:space="preserve"> </v>
      </c>
      <c r="H98" s="1135"/>
      <c r="I98" s="1135"/>
      <c r="J98" s="1135"/>
      <c r="K98" s="1135"/>
      <c r="L98" s="1100" t="str" cm="1">
        <f t="array" ref="L98">IFERROR(INDEX(M_TRX_TYPE[#Data], U98, MATCH($C$5,M_TRX_TYPE[#Headers], 0)), "")</f>
        <v/>
      </c>
      <c r="M98" s="1142" t="s">
        <v>0</v>
      </c>
      <c r="N98" s="1142"/>
      <c r="O98" s="1103" t="s">
        <v>0</v>
      </c>
      <c r="P98" s="1135" t="s">
        <v>0</v>
      </c>
      <c r="Q98" s="1135" t="s">
        <v>0</v>
      </c>
      <c r="R98" s="1135"/>
      <c r="S98" s="1135" t="s">
        <v>0</v>
      </c>
      <c r="T98" s="1135" t="str">
        <f>IFERROR(MATCH(M98,M_SYMBOL[SYMBOL],0),"")</f>
        <v/>
      </c>
      <c r="U98" s="1135" t="s">
        <v>28</v>
      </c>
      <c r="V98" s="1150" t="s">
        <v>0</v>
      </c>
      <c r="W98" s="1151" t="s">
        <v>847</v>
      </c>
      <c r="X98" s="1152">
        <f ca="1">(X96+X97)*-1</f>
        <v>-25912.75</v>
      </c>
      <c r="Y98" s="190"/>
      <c r="Z98" s="190"/>
      <c r="AA98" s="641"/>
      <c r="AB98" s="190"/>
      <c r="AC98" s="642"/>
      <c r="AD98" s="642"/>
      <c r="AE98" s="190">
        <f t="shared" si="66"/>
        <v>0</v>
      </c>
      <c r="AF98" s="190"/>
      <c r="AG98" s="190"/>
      <c r="AH98" s="190"/>
      <c r="AI98" s="190"/>
      <c r="AJ98" s="190"/>
      <c r="AK98" s="190" t="str">
        <f>IF(O98="H",DE_BKCDN[[#This Row],[DATE]],"")</f>
        <v/>
      </c>
      <c r="AL98" s="643"/>
      <c r="AM98" s="644"/>
      <c r="AN98" s="619" t="s">
        <v>0</v>
      </c>
      <c r="AO98" s="645"/>
      <c r="AP98" s="170"/>
      <c r="AR98" s="159"/>
    </row>
    <row r="99" spans="1:44" ht="15.75" customHeight="1" thickTop="1" thickBot="1">
      <c r="A99" s="177"/>
      <c r="B99" s="1173"/>
      <c r="C99" s="1173" t="s">
        <v>0</v>
      </c>
      <c r="D99" s="1173"/>
      <c r="E99" s="1173"/>
      <c r="F99" s="1173"/>
      <c r="G99" s="1174" t="str">
        <f t="shared" si="69"/>
        <v xml:space="preserve"> </v>
      </c>
      <c r="H99" s="1173"/>
      <c r="I99" s="1173"/>
      <c r="J99" s="1173"/>
      <c r="K99" s="1173"/>
      <c r="L99" s="1175" t="str" cm="1">
        <f t="array" ref="L99">IFERROR(INDEX(M_TRX_TYPE[#Data], U99, MATCH($C$5,M_TRX_TYPE[#Headers], 0)), "")</f>
        <v/>
      </c>
      <c r="M99" s="1086"/>
      <c r="N99" s="1086"/>
      <c r="O99" s="1103" t="s">
        <v>0</v>
      </c>
      <c r="P99" s="1086"/>
      <c r="Q99" s="1086"/>
      <c r="R99" s="1086"/>
      <c r="S99" s="1086"/>
      <c r="T99" s="1086" t="str">
        <f>IFERROR(MATCH(M99,M_SYMBOL[SYMBOL],0),"")</f>
        <v/>
      </c>
      <c r="U99" s="1086" t="s">
        <v>28</v>
      </c>
      <c r="V99" s="1086"/>
      <c r="W99" s="1153"/>
      <c r="X99" s="1154">
        <f ca="1">SUBTOTAL(109,X10:X98)</f>
        <v>-2.9103830456733704E-11</v>
      </c>
      <c r="Y99" s="197"/>
      <c r="Z99" s="197"/>
      <c r="AA99" s="647"/>
      <c r="AB99" s="197"/>
      <c r="AC99" s="648"/>
      <c r="AD99" s="648"/>
      <c r="AE99" s="197">
        <f t="shared" si="66"/>
        <v>0</v>
      </c>
      <c r="AF99" s="197"/>
      <c r="AG99" s="197"/>
      <c r="AH99" s="197"/>
      <c r="AI99" s="197"/>
      <c r="AJ99" s="197"/>
      <c r="AK99" s="197" t="str">
        <f>IF(O99="H",DE_BKCDN[[#This Row],[DATE]],"")</f>
        <v/>
      </c>
      <c r="AL99" s="639"/>
      <c r="AM99" s="640"/>
      <c r="AN99" s="619" t="s">
        <v>0</v>
      </c>
      <c r="AO99" s="638"/>
      <c r="AP99" s="198"/>
      <c r="AR99" s="159"/>
    </row>
    <row r="100" spans="1:44" ht="15.75" customHeight="1" thickTop="1">
      <c r="A100" s="177"/>
      <c r="B100" s="189"/>
      <c r="C100" s="189"/>
      <c r="D100" s="189"/>
      <c r="E100" s="189"/>
      <c r="F100" s="189"/>
      <c r="G100" s="189"/>
      <c r="H100" s="189"/>
      <c r="I100" s="189"/>
      <c r="J100" s="189"/>
      <c r="K100" s="189"/>
      <c r="L100" s="189"/>
      <c r="M100" s="189"/>
      <c r="N100" s="189"/>
      <c r="O100" s="189"/>
      <c r="P100" s="189"/>
      <c r="Q100" s="189"/>
      <c r="R100" s="189"/>
      <c r="S100" s="189"/>
      <c r="T100" s="189"/>
      <c r="U100" s="199"/>
      <c r="V100" s="199"/>
      <c r="W100" s="199"/>
      <c r="X100" s="199"/>
      <c r="Y100" s="199"/>
      <c r="Z100" s="649"/>
      <c r="AA100" s="199"/>
      <c r="AB100" s="650"/>
      <c r="AC100" s="650"/>
      <c r="AD100" s="199"/>
      <c r="AE100" s="199"/>
      <c r="AF100" s="199"/>
      <c r="AG100" s="222"/>
      <c r="AH100" s="200"/>
      <c r="AI100" s="200"/>
      <c r="AJ100" s="651"/>
      <c r="AK100" s="651"/>
      <c r="AL100" s="652"/>
      <c r="AM100" s="653"/>
      <c r="AN100" s="652"/>
      <c r="AO100" s="652"/>
      <c r="AP100" s="159"/>
      <c r="AR100" s="159"/>
    </row>
    <row r="102" spans="1:44" ht="15.75" customHeight="1">
      <c r="R102" s="155" t="s">
        <v>0</v>
      </c>
    </row>
    <row r="103" spans="1:44" ht="15.75" customHeight="1">
      <c r="N103" s="155" cm="1">
        <f t="array" ref="N103:N107">_xlfn.UNIQUE(N10:N84)</f>
        <v>0</v>
      </c>
      <c r="R103" s="155" cm="1">
        <f t="array" ref="R103:R119">_xlfn.UNIQUE(R10:R87)</f>
        <v>0</v>
      </c>
    </row>
    <row r="104" spans="1:44" ht="15.75" customHeight="1">
      <c r="N104" s="155">
        <v>1</v>
      </c>
      <c r="R104" s="155">
        <v>1</v>
      </c>
      <c r="Z104" s="155" t="str">
        <f t="shared" ref="Z104:Z135" si="70">(_xlfn.XLOOKUP(R104,$R$10:$R$84,$M$10:$M$84,0))</f>
        <v>JCI</v>
      </c>
      <c r="AA104" s="155">
        <f t="shared" ref="AA104:AA135" si="71">ABS(_xlfn.XLOOKUP(R104,$R$10:$R$84,$AA$10:$AA$84,0))</f>
        <v>100</v>
      </c>
      <c r="AE104" s="155">
        <f t="shared" ref="AE104:AE135" ca="1" si="72">ABS(_xlfn.XLOOKUP(R104,$R$10:$R$84,$AE$10:$AE$84,0))</f>
        <v>11801.86</v>
      </c>
      <c r="AG104" s="155">
        <f t="shared" ref="AG104:AG135" si="73">ABS(_xlfn.XLOOKUP(R104,$R$10:$R$84,$AG$10:$AG$84,0))</f>
        <v>11122.23</v>
      </c>
      <c r="AH104" s="171">
        <f t="shared" ref="AH104:AH135" ca="1" si="74">(_xlfn.XLOOKUP(R104,$R$10:$R$84,$AH$10:$AH$84,0))*-1</f>
        <v>-679.63000000000102</v>
      </c>
      <c r="AJ104" s="670">
        <f t="shared" ref="AJ104:AJ135" ca="1" si="75">(_xlfn.XLOOKUP(R104,$R$10:$R$84,$AJ$10:$AJ$84,0))</f>
        <v>40</v>
      </c>
      <c r="AK104" s="221">
        <f t="shared" ref="AK104:AK113" si="76">(_xlfn.XLOOKUP($N104,$N$10:$N$84,$AK$10:$AK$84,0))</f>
        <v>45649</v>
      </c>
      <c r="AL104" s="204">
        <f t="shared" ref="AL104:AL113" ca="1" si="77">(_xlfn.XLOOKUP($N104,$N$10:$N$84,$AL$10:$AL$84,0))</f>
        <v>100</v>
      </c>
      <c r="AM104" s="171">
        <f t="shared" ref="AM104:AM113" ca="1" si="78">(_xlfn.XLOOKUP($N104,$N$10:$N$84,$AM$10:$AM$84,0))</f>
        <v>5060.25</v>
      </c>
      <c r="AN104" s="155" t="str">
        <f t="shared" ref="AN104:AN113" si="79">(_xlfn.XLOOKUP($N104,$N$10:$N$84,$M$10:$M$84,0))</f>
        <v>XFN</v>
      </c>
    </row>
    <row r="105" spans="1:44" ht="15.75" customHeight="1">
      <c r="N105" s="155">
        <v>2</v>
      </c>
      <c r="R105" s="155">
        <v>2</v>
      </c>
      <c r="Z105" s="155" t="str">
        <f t="shared" si="70"/>
        <v>MS</v>
      </c>
      <c r="AA105" s="155">
        <f t="shared" si="71"/>
        <v>75</v>
      </c>
      <c r="AE105" s="155">
        <f t="shared" ca="1" si="72"/>
        <v>13625.800000000001</v>
      </c>
      <c r="AG105" s="155">
        <f t="shared" si="73"/>
        <v>14872.07</v>
      </c>
      <c r="AH105" s="171">
        <f t="shared" ca="1" si="74"/>
        <v>1246.2699999999986</v>
      </c>
      <c r="AJ105" s="670">
        <f t="shared" ca="1" si="75"/>
        <v>7</v>
      </c>
      <c r="AK105" s="221">
        <f t="shared" si="76"/>
        <v>45798</v>
      </c>
      <c r="AL105" s="204">
        <f t="shared" ca="1" si="77"/>
        <v>202</v>
      </c>
      <c r="AM105" s="171">
        <f t="shared" ca="1" si="78"/>
        <v>10527.73</v>
      </c>
      <c r="AN105" s="155" t="str">
        <f t="shared" si="79"/>
        <v>GWO</v>
      </c>
    </row>
    <row r="106" spans="1:44" ht="15.75" customHeight="1">
      <c r="N106" s="155">
        <v>3</v>
      </c>
      <c r="R106" s="155">
        <v>3</v>
      </c>
      <c r="Z106" s="155" t="str">
        <f t="shared" si="70"/>
        <v>MFC</v>
      </c>
      <c r="AA106" s="155">
        <f t="shared" si="71"/>
        <v>4</v>
      </c>
      <c r="AE106" s="155">
        <f t="shared" ca="1" si="72"/>
        <v>94.98</v>
      </c>
      <c r="AG106" s="155">
        <f t="shared" si="73"/>
        <v>164.89</v>
      </c>
      <c r="AH106" s="171">
        <f t="shared" ca="1" si="74"/>
        <v>69.909999999999982</v>
      </c>
      <c r="AJ106" s="670">
        <f t="shared" ca="1" si="75"/>
        <v>37</v>
      </c>
      <c r="AK106" s="221">
        <f t="shared" si="76"/>
        <v>45798</v>
      </c>
      <c r="AL106" s="204">
        <f t="shared" ca="1" si="77"/>
        <v>402</v>
      </c>
      <c r="AM106" s="171">
        <f t="shared" ca="1" si="78"/>
        <v>7054.18</v>
      </c>
      <c r="AN106" s="155" t="str">
        <f t="shared" si="79"/>
        <v>FCR.UN</v>
      </c>
    </row>
    <row r="107" spans="1:44" ht="15.75" customHeight="1">
      <c r="N107" s="155">
        <v>4</v>
      </c>
      <c r="R107" s="155">
        <v>4</v>
      </c>
      <c r="Z107" s="155" t="str">
        <f t="shared" si="70"/>
        <v>AMZN</v>
      </c>
      <c r="AA107" s="155">
        <f t="shared" si="71"/>
        <v>45</v>
      </c>
      <c r="AE107" s="155">
        <f t="shared" ca="1" si="72"/>
        <v>15011.330000000002</v>
      </c>
      <c r="AG107" s="155">
        <f t="shared" si="73"/>
        <v>15637.36</v>
      </c>
      <c r="AH107" s="171">
        <f t="shared" ca="1" si="74"/>
        <v>626.02999999999884</v>
      </c>
      <c r="AJ107" s="670">
        <f t="shared" ca="1" si="75"/>
        <v>7</v>
      </c>
      <c r="AK107" s="221">
        <f t="shared" si="76"/>
        <v>45798</v>
      </c>
      <c r="AL107" s="204">
        <f t="shared" ca="1" si="77"/>
        <v>170</v>
      </c>
      <c r="AM107" s="171">
        <f t="shared" ca="1" si="78"/>
        <v>3270.59</v>
      </c>
      <c r="AN107" s="155" t="str">
        <f t="shared" si="79"/>
        <v>KMP.UN</v>
      </c>
    </row>
    <row r="108" spans="1:44" ht="15.75" customHeight="1">
      <c r="R108" s="155">
        <v>5</v>
      </c>
      <c r="Z108" s="155" t="str">
        <f t="shared" si="70"/>
        <v>AMT</v>
      </c>
      <c r="AA108" s="155">
        <f t="shared" si="71"/>
        <v>44</v>
      </c>
      <c r="AE108" s="155">
        <f t="shared" ca="1" si="72"/>
        <v>12079.180000000002</v>
      </c>
      <c r="AG108" s="155">
        <f t="shared" si="73"/>
        <v>11886.86</v>
      </c>
      <c r="AH108" s="171">
        <f t="shared" ca="1" si="74"/>
        <v>-192.32000000000153</v>
      </c>
      <c r="AJ108" s="670">
        <f t="shared" ca="1" si="75"/>
        <v>1</v>
      </c>
      <c r="AK108" s="221">
        <f t="shared" si="76"/>
        <v>0</v>
      </c>
      <c r="AL108" s="204">
        <f t="shared" si="77"/>
        <v>0</v>
      </c>
      <c r="AM108" s="171">
        <f t="shared" si="78"/>
        <v>0</v>
      </c>
      <c r="AN108" s="155">
        <f t="shared" si="79"/>
        <v>0</v>
      </c>
    </row>
    <row r="109" spans="1:44" ht="15.75" customHeight="1">
      <c r="R109" s="155">
        <v>6</v>
      </c>
      <c r="Z109" s="155" t="str">
        <f t="shared" si="70"/>
        <v>PEP</v>
      </c>
      <c r="AA109" s="155">
        <f t="shared" si="71"/>
        <v>16</v>
      </c>
      <c r="AE109" s="155">
        <f t="shared" ca="1" si="72"/>
        <v>3541.84</v>
      </c>
      <c r="AG109" s="155">
        <f t="shared" si="73"/>
        <v>3303.29</v>
      </c>
      <c r="AH109" s="171">
        <f t="shared" ca="1" si="74"/>
        <v>-238.55000000000018</v>
      </c>
      <c r="AJ109" s="670">
        <f t="shared" ca="1" si="75"/>
        <v>7</v>
      </c>
      <c r="AK109" s="221">
        <f t="shared" si="76"/>
        <v>0</v>
      </c>
      <c r="AL109" s="204">
        <f t="shared" si="77"/>
        <v>0</v>
      </c>
      <c r="AM109" s="171">
        <f t="shared" si="78"/>
        <v>0</v>
      </c>
      <c r="AN109" s="155">
        <f t="shared" si="79"/>
        <v>0</v>
      </c>
    </row>
    <row r="110" spans="1:44" ht="15.75" customHeight="1">
      <c r="R110" s="155">
        <v>7</v>
      </c>
      <c r="Z110" s="155" t="str">
        <f t="shared" si="70"/>
        <v>CROX</v>
      </c>
      <c r="AA110" s="155">
        <f t="shared" si="71"/>
        <v>40</v>
      </c>
      <c r="AE110" s="155">
        <f t="shared" ca="1" si="72"/>
        <v>6151.369999999999</v>
      </c>
      <c r="AG110" s="155">
        <f t="shared" si="73"/>
        <v>5625.47</v>
      </c>
      <c r="AH110" s="171">
        <f t="shared" ca="1" si="74"/>
        <v>-525.89999999999873</v>
      </c>
      <c r="AJ110" s="670">
        <f t="shared" ca="1" si="75"/>
        <v>6</v>
      </c>
      <c r="AK110" s="221">
        <f t="shared" si="76"/>
        <v>0</v>
      </c>
      <c r="AL110" s="204">
        <f t="shared" si="77"/>
        <v>0</v>
      </c>
      <c r="AM110" s="171">
        <f t="shared" si="78"/>
        <v>0</v>
      </c>
      <c r="AN110" s="155">
        <f t="shared" si="79"/>
        <v>0</v>
      </c>
    </row>
    <row r="111" spans="1:44" ht="15.75" customHeight="1">
      <c r="R111" s="155">
        <v>8</v>
      </c>
      <c r="Z111" s="155" t="str">
        <f t="shared" si="70"/>
        <v>GLW</v>
      </c>
      <c r="AA111" s="155">
        <f t="shared" si="71"/>
        <v>79</v>
      </c>
      <c r="AE111" s="155">
        <f t="shared" ca="1" si="72"/>
        <v>5749.84</v>
      </c>
      <c r="AG111" s="155">
        <f t="shared" si="73"/>
        <v>6089.35</v>
      </c>
      <c r="AH111" s="171">
        <f t="shared" ca="1" si="74"/>
        <v>339.51000000000022</v>
      </c>
      <c r="AJ111" s="670">
        <f t="shared" ca="1" si="75"/>
        <v>11</v>
      </c>
      <c r="AK111" s="221">
        <f t="shared" si="76"/>
        <v>0</v>
      </c>
      <c r="AL111" s="204">
        <f t="shared" si="77"/>
        <v>0</v>
      </c>
      <c r="AM111" s="171">
        <f t="shared" si="78"/>
        <v>0</v>
      </c>
      <c r="AN111" s="155">
        <f t="shared" si="79"/>
        <v>0</v>
      </c>
    </row>
    <row r="112" spans="1:44" ht="15.75" customHeight="1">
      <c r="R112" s="155">
        <v>9</v>
      </c>
      <c r="Z112" s="155" t="str">
        <f t="shared" si="70"/>
        <v>VRN</v>
      </c>
      <c r="AA112" s="155">
        <f t="shared" si="71"/>
        <v>99</v>
      </c>
      <c r="AE112" s="155">
        <f t="shared" ca="1" si="72"/>
        <v>785.5</v>
      </c>
      <c r="AG112" s="155">
        <f t="shared" si="73"/>
        <v>719.18</v>
      </c>
      <c r="AH112" s="171">
        <f t="shared" ca="1" si="74"/>
        <v>-66.32000000000005</v>
      </c>
      <c r="AJ112" s="670">
        <f t="shared" ca="1" si="75"/>
        <v>43</v>
      </c>
      <c r="AK112" s="221">
        <f t="shared" si="76"/>
        <v>0</v>
      </c>
      <c r="AL112" s="204">
        <f t="shared" si="77"/>
        <v>0</v>
      </c>
      <c r="AM112" s="171">
        <f t="shared" si="78"/>
        <v>0</v>
      </c>
      <c r="AN112" s="155">
        <f t="shared" si="79"/>
        <v>0</v>
      </c>
    </row>
    <row r="113" spans="18:40" ht="15.75" customHeight="1">
      <c r="R113" s="155">
        <v>10</v>
      </c>
      <c r="Z113" s="155" t="str">
        <f t="shared" si="70"/>
        <v>GIL</v>
      </c>
      <c r="AA113" s="155">
        <f t="shared" si="71"/>
        <v>118</v>
      </c>
      <c r="AE113" s="155">
        <f t="shared" ca="1" si="72"/>
        <v>8890.5400000000009</v>
      </c>
      <c r="AG113" s="155">
        <f t="shared" si="73"/>
        <v>9072.74</v>
      </c>
      <c r="AH113" s="171">
        <f t="shared" ca="1" si="74"/>
        <v>182.19999999999891</v>
      </c>
      <c r="AJ113" s="670">
        <f t="shared" ca="1" si="75"/>
        <v>15</v>
      </c>
      <c r="AK113" s="221">
        <f t="shared" si="76"/>
        <v>0</v>
      </c>
      <c r="AL113" s="204">
        <f t="shared" si="77"/>
        <v>0</v>
      </c>
      <c r="AM113" s="171">
        <f t="shared" si="78"/>
        <v>0</v>
      </c>
      <c r="AN113" s="155">
        <f t="shared" si="79"/>
        <v>0</v>
      </c>
    </row>
    <row r="114" spans="18:40" ht="15.75" customHeight="1">
      <c r="R114" s="155">
        <v>11</v>
      </c>
      <c r="Z114" s="155" t="str">
        <f t="shared" si="70"/>
        <v>IREN</v>
      </c>
      <c r="AA114" s="155">
        <f t="shared" si="71"/>
        <v>322</v>
      </c>
      <c r="AE114" s="155">
        <f t="shared" ca="1" si="72"/>
        <v>6079.31</v>
      </c>
      <c r="AG114" s="155">
        <f t="shared" si="73"/>
        <v>5554.11</v>
      </c>
      <c r="AH114" s="171">
        <f t="shared" ca="1" si="74"/>
        <v>-525.20000000000073</v>
      </c>
      <c r="AJ114" s="670">
        <f t="shared" ca="1" si="75"/>
        <v>10</v>
      </c>
      <c r="AK114" s="221"/>
      <c r="AL114" s="204"/>
      <c r="AM114" s="171"/>
    </row>
    <row r="115" spans="18:40" ht="15.75" customHeight="1">
      <c r="R115" s="155">
        <v>12</v>
      </c>
      <c r="Z115" s="155" t="str">
        <f t="shared" si="70"/>
        <v>GRT.UN</v>
      </c>
      <c r="AA115" s="155">
        <f t="shared" si="71"/>
        <v>70</v>
      </c>
      <c r="AE115" s="155">
        <f t="shared" ca="1" si="72"/>
        <v>4926.0899999999992</v>
      </c>
      <c r="AG115" s="155">
        <f t="shared" si="73"/>
        <v>4727.1000000000004</v>
      </c>
      <c r="AH115" s="171">
        <f t="shared" ca="1" si="74"/>
        <v>-198.98999999999887</v>
      </c>
      <c r="AJ115" s="670">
        <f t="shared" ca="1" si="75"/>
        <v>318</v>
      </c>
      <c r="AK115" s="221"/>
      <c r="AL115" s="204"/>
      <c r="AM115" s="171"/>
    </row>
    <row r="116" spans="18:40" ht="15.75" customHeight="1">
      <c r="R116" s="155">
        <v>13</v>
      </c>
      <c r="Z116" s="155" t="str">
        <f t="shared" si="70"/>
        <v>CNR</v>
      </c>
      <c r="AA116" s="155">
        <f t="shared" si="71"/>
        <v>106</v>
      </c>
      <c r="AE116" s="155">
        <f t="shared" ca="1" si="72"/>
        <v>15619.800000000001</v>
      </c>
      <c r="AG116" s="155">
        <f t="shared" si="73"/>
        <v>14800.08</v>
      </c>
      <c r="AH116" s="171">
        <f t="shared" ca="1" si="74"/>
        <v>-819.72000000000116</v>
      </c>
      <c r="AJ116" s="670">
        <f t="shared" ca="1" si="75"/>
        <v>11</v>
      </c>
      <c r="AK116" s="221"/>
      <c r="AL116" s="204"/>
      <c r="AM116" s="171"/>
    </row>
    <row r="117" spans="18:40" ht="15.75" customHeight="1">
      <c r="R117" s="155">
        <v>14</v>
      </c>
      <c r="Z117" s="155" t="str">
        <f t="shared" si="70"/>
        <v>ADW.A</v>
      </c>
      <c r="AA117" s="155">
        <f t="shared" si="71"/>
        <v>101</v>
      </c>
      <c r="AE117" s="155">
        <f t="shared" ca="1" si="72"/>
        <v>493.45</v>
      </c>
      <c r="AG117" s="155">
        <f t="shared" si="73"/>
        <v>457.63</v>
      </c>
      <c r="AH117" s="171">
        <f t="shared" ca="1" si="74"/>
        <v>-35.819999999999993</v>
      </c>
      <c r="AJ117" s="670">
        <f t="shared" ca="1" si="75"/>
        <v>30</v>
      </c>
      <c r="AK117" s="221"/>
      <c r="AL117" s="204"/>
      <c r="AM117" s="171"/>
    </row>
    <row r="118" spans="18:40" ht="15.75" customHeight="1">
      <c r="R118" s="155">
        <v>15</v>
      </c>
      <c r="Z118" s="155" t="str">
        <f t="shared" si="70"/>
        <v>BLN</v>
      </c>
      <c r="AA118" s="155">
        <f t="shared" si="71"/>
        <v>699</v>
      </c>
      <c r="AE118" s="155">
        <f t="shared" ca="1" si="72"/>
        <v>4816.12</v>
      </c>
      <c r="AG118" s="155">
        <f t="shared" si="73"/>
        <v>5454.2000000000007</v>
      </c>
      <c r="AH118" s="171">
        <f t="shared" ca="1" si="74"/>
        <v>638.08000000000084</v>
      </c>
      <c r="AJ118" s="670">
        <f t="shared" ca="1" si="75"/>
        <v>79</v>
      </c>
      <c r="AK118" s="221"/>
      <c r="AL118" s="204"/>
      <c r="AM118" s="171"/>
    </row>
    <row r="119" spans="18:40" ht="15.75" customHeight="1">
      <c r="R119" s="155">
        <v>0</v>
      </c>
      <c r="Z119" s="155" t="str">
        <f t="shared" si="70"/>
        <v/>
      </c>
      <c r="AA119" s="155">
        <f t="shared" si="71"/>
        <v>0</v>
      </c>
      <c r="AE119" s="155">
        <f t="shared" si="72"/>
        <v>0</v>
      </c>
      <c r="AG119" s="155">
        <f t="shared" si="73"/>
        <v>0</v>
      </c>
      <c r="AH119" s="171">
        <f t="shared" si="74"/>
        <v>0</v>
      </c>
      <c r="AJ119" s="670" t="str">
        <f t="shared" si="75"/>
        <v/>
      </c>
    </row>
    <row r="120" spans="18:40" ht="15.75" customHeight="1">
      <c r="Z120" s="155">
        <f t="shared" si="70"/>
        <v>0</v>
      </c>
      <c r="AA120" s="155">
        <f t="shared" si="71"/>
        <v>0</v>
      </c>
      <c r="AE120" s="155">
        <f t="shared" si="72"/>
        <v>0</v>
      </c>
      <c r="AG120" s="155">
        <f t="shared" si="73"/>
        <v>0</v>
      </c>
      <c r="AH120" s="171">
        <f t="shared" si="74"/>
        <v>0</v>
      </c>
      <c r="AJ120" s="670">
        <f t="shared" si="75"/>
        <v>0</v>
      </c>
    </row>
    <row r="121" spans="18:40" ht="15.75" customHeight="1">
      <c r="Z121" s="155">
        <f t="shared" si="70"/>
        <v>0</v>
      </c>
      <c r="AA121" s="155">
        <f t="shared" si="71"/>
        <v>0</v>
      </c>
      <c r="AE121" s="155">
        <f t="shared" si="72"/>
        <v>0</v>
      </c>
      <c r="AG121" s="155">
        <f t="shared" si="73"/>
        <v>0</v>
      </c>
      <c r="AH121" s="171">
        <f t="shared" si="74"/>
        <v>0</v>
      </c>
      <c r="AJ121" s="670">
        <f t="shared" si="75"/>
        <v>0</v>
      </c>
    </row>
    <row r="122" spans="18:40" ht="15.75" customHeight="1">
      <c r="Z122" s="155">
        <f t="shared" si="70"/>
        <v>0</v>
      </c>
      <c r="AA122" s="155">
        <f t="shared" si="71"/>
        <v>0</v>
      </c>
      <c r="AE122" s="155">
        <f t="shared" si="72"/>
        <v>0</v>
      </c>
      <c r="AG122" s="155">
        <f t="shared" si="73"/>
        <v>0</v>
      </c>
      <c r="AH122" s="171">
        <f t="shared" si="74"/>
        <v>0</v>
      </c>
      <c r="AJ122" s="670">
        <f t="shared" si="75"/>
        <v>0</v>
      </c>
    </row>
    <row r="123" spans="18:40" ht="15.75" customHeight="1">
      <c r="Z123" s="155">
        <f t="shared" si="70"/>
        <v>0</v>
      </c>
      <c r="AA123" s="155">
        <f t="shared" si="71"/>
        <v>0</v>
      </c>
      <c r="AE123" s="155">
        <f t="shared" si="72"/>
        <v>0</v>
      </c>
      <c r="AG123" s="155">
        <f t="shared" si="73"/>
        <v>0</v>
      </c>
      <c r="AH123" s="171">
        <f t="shared" si="74"/>
        <v>0</v>
      </c>
      <c r="AJ123" s="670">
        <f t="shared" si="75"/>
        <v>0</v>
      </c>
    </row>
    <row r="124" spans="18:40" ht="15.75" customHeight="1">
      <c r="Z124" s="155">
        <f t="shared" si="70"/>
        <v>0</v>
      </c>
      <c r="AA124" s="155">
        <f t="shared" si="71"/>
        <v>0</v>
      </c>
      <c r="AE124" s="155">
        <f t="shared" si="72"/>
        <v>0</v>
      </c>
      <c r="AG124" s="155">
        <f t="shared" si="73"/>
        <v>0</v>
      </c>
      <c r="AH124" s="171">
        <f t="shared" si="74"/>
        <v>0</v>
      </c>
      <c r="AJ124" s="670">
        <f t="shared" si="75"/>
        <v>0</v>
      </c>
    </row>
    <row r="125" spans="18:40" ht="15.75" customHeight="1">
      <c r="Z125" s="155">
        <f t="shared" si="70"/>
        <v>0</v>
      </c>
      <c r="AA125" s="155">
        <f t="shared" si="71"/>
        <v>0</v>
      </c>
      <c r="AE125" s="155">
        <f t="shared" si="72"/>
        <v>0</v>
      </c>
      <c r="AG125" s="155">
        <f t="shared" si="73"/>
        <v>0</v>
      </c>
      <c r="AH125" s="171">
        <f t="shared" si="74"/>
        <v>0</v>
      </c>
      <c r="AJ125" s="670">
        <f t="shared" si="75"/>
        <v>0</v>
      </c>
    </row>
    <row r="126" spans="18:40" ht="15.75" customHeight="1">
      <c r="Z126" s="155">
        <f t="shared" si="70"/>
        <v>0</v>
      </c>
      <c r="AA126" s="155">
        <f t="shared" si="71"/>
        <v>0</v>
      </c>
      <c r="AE126" s="155">
        <f t="shared" si="72"/>
        <v>0</v>
      </c>
      <c r="AG126" s="155">
        <f t="shared" si="73"/>
        <v>0</v>
      </c>
      <c r="AH126" s="171">
        <f t="shared" si="74"/>
        <v>0</v>
      </c>
      <c r="AJ126" s="670">
        <f t="shared" si="75"/>
        <v>0</v>
      </c>
    </row>
    <row r="127" spans="18:40" ht="15.75" customHeight="1">
      <c r="Z127" s="155">
        <f t="shared" si="70"/>
        <v>0</v>
      </c>
      <c r="AA127" s="155">
        <f t="shared" si="71"/>
        <v>0</v>
      </c>
      <c r="AE127" s="155">
        <f t="shared" si="72"/>
        <v>0</v>
      </c>
      <c r="AG127" s="155">
        <f t="shared" si="73"/>
        <v>0</v>
      </c>
      <c r="AH127" s="171">
        <f t="shared" si="74"/>
        <v>0</v>
      </c>
      <c r="AJ127" s="670">
        <f t="shared" si="75"/>
        <v>0</v>
      </c>
    </row>
    <row r="128" spans="18:40" ht="15.75" customHeight="1">
      <c r="Z128" s="155">
        <f t="shared" si="70"/>
        <v>0</v>
      </c>
      <c r="AA128" s="155">
        <f t="shared" si="71"/>
        <v>0</v>
      </c>
      <c r="AE128" s="155">
        <f t="shared" si="72"/>
        <v>0</v>
      </c>
      <c r="AG128" s="155">
        <f t="shared" si="73"/>
        <v>0</v>
      </c>
      <c r="AH128" s="171">
        <f t="shared" si="74"/>
        <v>0</v>
      </c>
      <c r="AJ128" s="670">
        <f t="shared" si="75"/>
        <v>0</v>
      </c>
    </row>
    <row r="129" spans="26:36" ht="15.75" customHeight="1">
      <c r="Z129" s="155">
        <f t="shared" si="70"/>
        <v>0</v>
      </c>
      <c r="AA129" s="155">
        <f t="shared" si="71"/>
        <v>0</v>
      </c>
      <c r="AE129" s="155">
        <f t="shared" si="72"/>
        <v>0</v>
      </c>
      <c r="AG129" s="155">
        <f t="shared" si="73"/>
        <v>0</v>
      </c>
      <c r="AH129" s="171">
        <f t="shared" si="74"/>
        <v>0</v>
      </c>
      <c r="AJ129" s="670">
        <f t="shared" si="75"/>
        <v>0</v>
      </c>
    </row>
    <row r="130" spans="26:36" ht="15.75" customHeight="1">
      <c r="Z130" s="155">
        <f t="shared" si="70"/>
        <v>0</v>
      </c>
      <c r="AA130" s="155">
        <f t="shared" si="71"/>
        <v>0</v>
      </c>
      <c r="AE130" s="155">
        <f t="shared" si="72"/>
        <v>0</v>
      </c>
      <c r="AG130" s="155">
        <f t="shared" si="73"/>
        <v>0</v>
      </c>
      <c r="AH130" s="171">
        <f t="shared" si="74"/>
        <v>0</v>
      </c>
      <c r="AJ130" s="670">
        <f t="shared" si="75"/>
        <v>0</v>
      </c>
    </row>
    <row r="131" spans="26:36" ht="15.75" customHeight="1">
      <c r="Z131" s="155">
        <f t="shared" si="70"/>
        <v>0</v>
      </c>
      <c r="AA131" s="155">
        <f t="shared" si="71"/>
        <v>0</v>
      </c>
      <c r="AE131" s="155">
        <f t="shared" si="72"/>
        <v>0</v>
      </c>
      <c r="AG131" s="155">
        <f t="shared" si="73"/>
        <v>0</v>
      </c>
      <c r="AH131" s="171">
        <f t="shared" si="74"/>
        <v>0</v>
      </c>
      <c r="AJ131" s="670">
        <f t="shared" si="75"/>
        <v>0</v>
      </c>
    </row>
    <row r="132" spans="26:36" ht="15.75" customHeight="1">
      <c r="Z132" s="155">
        <f t="shared" si="70"/>
        <v>0</v>
      </c>
      <c r="AA132" s="155">
        <f t="shared" si="71"/>
        <v>0</v>
      </c>
      <c r="AE132" s="155">
        <f t="shared" si="72"/>
        <v>0</v>
      </c>
      <c r="AG132" s="155">
        <f t="shared" si="73"/>
        <v>0</v>
      </c>
      <c r="AH132" s="171">
        <f t="shared" si="74"/>
        <v>0</v>
      </c>
      <c r="AJ132" s="670">
        <f t="shared" si="75"/>
        <v>0</v>
      </c>
    </row>
    <row r="133" spans="26:36" ht="15.75" customHeight="1">
      <c r="Z133" s="155">
        <f t="shared" si="70"/>
        <v>0</v>
      </c>
      <c r="AA133" s="155">
        <f t="shared" si="71"/>
        <v>0</v>
      </c>
      <c r="AE133" s="155">
        <f t="shared" si="72"/>
        <v>0</v>
      </c>
      <c r="AG133" s="155">
        <f t="shared" si="73"/>
        <v>0</v>
      </c>
      <c r="AH133" s="171">
        <f t="shared" si="74"/>
        <v>0</v>
      </c>
      <c r="AJ133" s="670">
        <f t="shared" si="75"/>
        <v>0</v>
      </c>
    </row>
    <row r="134" spans="26:36" ht="15.75" customHeight="1">
      <c r="Z134" s="155">
        <f t="shared" si="70"/>
        <v>0</v>
      </c>
      <c r="AA134" s="155">
        <f t="shared" si="71"/>
        <v>0</v>
      </c>
      <c r="AE134" s="155">
        <f t="shared" si="72"/>
        <v>0</v>
      </c>
      <c r="AG134" s="155">
        <f t="shared" si="73"/>
        <v>0</v>
      </c>
      <c r="AH134" s="171">
        <f t="shared" si="74"/>
        <v>0</v>
      </c>
      <c r="AJ134" s="670">
        <f t="shared" si="75"/>
        <v>0</v>
      </c>
    </row>
    <row r="135" spans="26:36" ht="15.75" customHeight="1">
      <c r="Z135" s="155">
        <f t="shared" si="70"/>
        <v>0</v>
      </c>
      <c r="AA135" s="155">
        <f t="shared" si="71"/>
        <v>0</v>
      </c>
      <c r="AE135" s="155">
        <f t="shared" si="72"/>
        <v>0</v>
      </c>
      <c r="AG135" s="155">
        <f t="shared" si="73"/>
        <v>0</v>
      </c>
      <c r="AH135" s="171">
        <f t="shared" si="74"/>
        <v>0</v>
      </c>
      <c r="AJ135" s="670">
        <f t="shared" si="75"/>
        <v>0</v>
      </c>
    </row>
    <row r="136" spans="26:36" ht="15.75" customHeight="1">
      <c r="Z136" s="155">
        <f t="shared" ref="Z136:Z167" si="80">(_xlfn.XLOOKUP(R136,$R$10:$R$84,$M$10:$M$84,0))</f>
        <v>0</v>
      </c>
      <c r="AA136" s="155">
        <f t="shared" ref="AA136:AA167" si="81">ABS(_xlfn.XLOOKUP(R136,$R$10:$R$84,$AA$10:$AA$84,0))</f>
        <v>0</v>
      </c>
      <c r="AE136" s="155">
        <f t="shared" ref="AE136:AE167" si="82">ABS(_xlfn.XLOOKUP(R136,$R$10:$R$84,$AE$10:$AE$84,0))</f>
        <v>0</v>
      </c>
      <c r="AG136" s="155">
        <f t="shared" ref="AG136:AG167" si="83">ABS(_xlfn.XLOOKUP(R136,$R$10:$R$84,$AG$10:$AG$84,0))</f>
        <v>0</v>
      </c>
      <c r="AH136" s="171">
        <f t="shared" ref="AH136:AH167" si="84">(_xlfn.XLOOKUP(R136,$R$10:$R$84,$AH$10:$AH$84,0))*-1</f>
        <v>0</v>
      </c>
      <c r="AJ136" s="670">
        <f t="shared" ref="AJ136:AJ167" si="85">(_xlfn.XLOOKUP(R136,$R$10:$R$84,$AJ$10:$AJ$84,0))</f>
        <v>0</v>
      </c>
    </row>
    <row r="137" spans="26:36" ht="15.75" customHeight="1">
      <c r="Z137" s="155">
        <f t="shared" si="80"/>
        <v>0</v>
      </c>
      <c r="AA137" s="155">
        <f t="shared" si="81"/>
        <v>0</v>
      </c>
      <c r="AE137" s="155">
        <f t="shared" si="82"/>
        <v>0</v>
      </c>
      <c r="AG137" s="155">
        <f t="shared" si="83"/>
        <v>0</v>
      </c>
      <c r="AH137" s="171">
        <f t="shared" si="84"/>
        <v>0</v>
      </c>
      <c r="AJ137" s="670">
        <f t="shared" si="85"/>
        <v>0</v>
      </c>
    </row>
    <row r="138" spans="26:36" ht="15.75" customHeight="1">
      <c r="Z138" s="155">
        <f t="shared" si="80"/>
        <v>0</v>
      </c>
      <c r="AA138" s="155">
        <f t="shared" si="81"/>
        <v>0</v>
      </c>
      <c r="AE138" s="155">
        <f t="shared" si="82"/>
        <v>0</v>
      </c>
      <c r="AG138" s="155">
        <f t="shared" si="83"/>
        <v>0</v>
      </c>
      <c r="AH138" s="171">
        <f t="shared" si="84"/>
        <v>0</v>
      </c>
      <c r="AJ138" s="670">
        <f t="shared" si="85"/>
        <v>0</v>
      </c>
    </row>
    <row r="139" spans="26:36" ht="15.75" customHeight="1">
      <c r="Z139" s="155">
        <f t="shared" si="80"/>
        <v>0</v>
      </c>
      <c r="AA139" s="155">
        <f t="shared" si="81"/>
        <v>0</v>
      </c>
      <c r="AE139" s="155">
        <f t="shared" si="82"/>
        <v>0</v>
      </c>
      <c r="AG139" s="155">
        <f t="shared" si="83"/>
        <v>0</v>
      </c>
      <c r="AH139" s="171">
        <f t="shared" si="84"/>
        <v>0</v>
      </c>
      <c r="AJ139" s="670">
        <f t="shared" si="85"/>
        <v>0</v>
      </c>
    </row>
    <row r="140" spans="26:36" ht="15.75" customHeight="1">
      <c r="Z140" s="155">
        <f t="shared" si="80"/>
        <v>0</v>
      </c>
      <c r="AA140" s="155">
        <f t="shared" si="81"/>
        <v>0</v>
      </c>
      <c r="AE140" s="155">
        <f t="shared" si="82"/>
        <v>0</v>
      </c>
      <c r="AG140" s="155">
        <f t="shared" si="83"/>
        <v>0</v>
      </c>
      <c r="AH140" s="171">
        <f t="shared" si="84"/>
        <v>0</v>
      </c>
      <c r="AJ140" s="670">
        <f t="shared" si="85"/>
        <v>0</v>
      </c>
    </row>
    <row r="141" spans="26:36" ht="15.75" customHeight="1">
      <c r="Z141" s="155">
        <f t="shared" si="80"/>
        <v>0</v>
      </c>
      <c r="AA141" s="155">
        <f t="shared" si="81"/>
        <v>0</v>
      </c>
      <c r="AE141" s="155">
        <f t="shared" si="82"/>
        <v>0</v>
      </c>
      <c r="AG141" s="155">
        <f t="shared" si="83"/>
        <v>0</v>
      </c>
      <c r="AH141" s="171">
        <f t="shared" si="84"/>
        <v>0</v>
      </c>
      <c r="AJ141" s="670">
        <f t="shared" si="85"/>
        <v>0</v>
      </c>
    </row>
    <row r="142" spans="26:36" ht="15.75" customHeight="1">
      <c r="Z142" s="155">
        <f t="shared" si="80"/>
        <v>0</v>
      </c>
      <c r="AA142" s="155">
        <f t="shared" si="81"/>
        <v>0</v>
      </c>
      <c r="AE142" s="155">
        <f t="shared" si="82"/>
        <v>0</v>
      </c>
      <c r="AG142" s="155">
        <f t="shared" si="83"/>
        <v>0</v>
      </c>
      <c r="AH142" s="171">
        <f t="shared" si="84"/>
        <v>0</v>
      </c>
      <c r="AJ142" s="670">
        <f t="shared" si="85"/>
        <v>0</v>
      </c>
    </row>
    <row r="143" spans="26:36" ht="15.75" customHeight="1">
      <c r="Z143" s="155">
        <f t="shared" si="80"/>
        <v>0</v>
      </c>
      <c r="AA143" s="155">
        <f t="shared" si="81"/>
        <v>0</v>
      </c>
      <c r="AE143" s="155">
        <f t="shared" si="82"/>
        <v>0</v>
      </c>
      <c r="AG143" s="155">
        <f t="shared" si="83"/>
        <v>0</v>
      </c>
      <c r="AH143" s="171">
        <f t="shared" si="84"/>
        <v>0</v>
      </c>
      <c r="AJ143" s="670">
        <f t="shared" si="85"/>
        <v>0</v>
      </c>
    </row>
    <row r="144" spans="26:36" ht="15.75" customHeight="1">
      <c r="Z144" s="155">
        <f t="shared" si="80"/>
        <v>0</v>
      </c>
      <c r="AA144" s="155">
        <f t="shared" si="81"/>
        <v>0</v>
      </c>
      <c r="AE144" s="155">
        <f t="shared" si="82"/>
        <v>0</v>
      </c>
      <c r="AG144" s="155">
        <f t="shared" si="83"/>
        <v>0</v>
      </c>
      <c r="AH144" s="171">
        <f t="shared" si="84"/>
        <v>0</v>
      </c>
      <c r="AJ144" s="670">
        <f t="shared" si="85"/>
        <v>0</v>
      </c>
    </row>
    <row r="145" spans="26:36" ht="15.75" customHeight="1">
      <c r="Z145" s="155">
        <f t="shared" si="80"/>
        <v>0</v>
      </c>
      <c r="AA145" s="155">
        <f t="shared" si="81"/>
        <v>0</v>
      </c>
      <c r="AE145" s="155">
        <f t="shared" si="82"/>
        <v>0</v>
      </c>
      <c r="AG145" s="155">
        <f t="shared" si="83"/>
        <v>0</v>
      </c>
      <c r="AH145" s="171">
        <f t="shared" si="84"/>
        <v>0</v>
      </c>
      <c r="AJ145" s="670">
        <f t="shared" si="85"/>
        <v>0</v>
      </c>
    </row>
    <row r="146" spans="26:36" ht="15.75" customHeight="1">
      <c r="Z146" s="155">
        <f t="shared" si="80"/>
        <v>0</v>
      </c>
      <c r="AA146" s="155">
        <f t="shared" si="81"/>
        <v>0</v>
      </c>
      <c r="AE146" s="155">
        <f t="shared" si="82"/>
        <v>0</v>
      </c>
      <c r="AG146" s="155">
        <f t="shared" si="83"/>
        <v>0</v>
      </c>
      <c r="AH146" s="171">
        <f t="shared" si="84"/>
        <v>0</v>
      </c>
      <c r="AJ146" s="670">
        <f t="shared" si="85"/>
        <v>0</v>
      </c>
    </row>
    <row r="147" spans="26:36" ht="15.75" customHeight="1">
      <c r="Z147" s="155">
        <f t="shared" si="80"/>
        <v>0</v>
      </c>
      <c r="AA147" s="155">
        <f t="shared" si="81"/>
        <v>0</v>
      </c>
      <c r="AE147" s="155">
        <f t="shared" si="82"/>
        <v>0</v>
      </c>
      <c r="AG147" s="155">
        <f t="shared" si="83"/>
        <v>0</v>
      </c>
      <c r="AH147" s="171">
        <f t="shared" si="84"/>
        <v>0</v>
      </c>
      <c r="AJ147" s="670">
        <f t="shared" si="85"/>
        <v>0</v>
      </c>
    </row>
    <row r="148" spans="26:36" ht="15.75" customHeight="1">
      <c r="Z148" s="155">
        <f t="shared" si="80"/>
        <v>0</v>
      </c>
      <c r="AA148" s="155">
        <f t="shared" si="81"/>
        <v>0</v>
      </c>
      <c r="AE148" s="155">
        <f t="shared" si="82"/>
        <v>0</v>
      </c>
      <c r="AG148" s="155">
        <f t="shared" si="83"/>
        <v>0</v>
      </c>
      <c r="AH148" s="171">
        <f t="shared" si="84"/>
        <v>0</v>
      </c>
      <c r="AJ148" s="670">
        <f t="shared" si="85"/>
        <v>0</v>
      </c>
    </row>
    <row r="149" spans="26:36" ht="15.75" customHeight="1">
      <c r="Z149" s="155">
        <f t="shared" si="80"/>
        <v>0</v>
      </c>
      <c r="AA149" s="155">
        <f t="shared" si="81"/>
        <v>0</v>
      </c>
      <c r="AE149" s="155">
        <f t="shared" si="82"/>
        <v>0</v>
      </c>
      <c r="AG149" s="155">
        <f t="shared" si="83"/>
        <v>0</v>
      </c>
      <c r="AH149" s="171">
        <f t="shared" si="84"/>
        <v>0</v>
      </c>
      <c r="AJ149" s="670">
        <f t="shared" si="85"/>
        <v>0</v>
      </c>
    </row>
    <row r="150" spans="26:36" ht="15.75" customHeight="1">
      <c r="Z150" s="155">
        <f t="shared" si="80"/>
        <v>0</v>
      </c>
      <c r="AA150" s="155">
        <f t="shared" si="81"/>
        <v>0</v>
      </c>
      <c r="AE150" s="155">
        <f t="shared" si="82"/>
        <v>0</v>
      </c>
      <c r="AG150" s="155">
        <f t="shared" si="83"/>
        <v>0</v>
      </c>
      <c r="AH150" s="171">
        <f t="shared" si="84"/>
        <v>0</v>
      </c>
      <c r="AJ150" s="670">
        <f t="shared" si="85"/>
        <v>0</v>
      </c>
    </row>
    <row r="151" spans="26:36" ht="15.75" customHeight="1">
      <c r="Z151" s="155">
        <f t="shared" si="80"/>
        <v>0</v>
      </c>
      <c r="AA151" s="155">
        <f t="shared" si="81"/>
        <v>0</v>
      </c>
      <c r="AE151" s="155">
        <f t="shared" si="82"/>
        <v>0</v>
      </c>
      <c r="AG151" s="155">
        <f t="shared" si="83"/>
        <v>0</v>
      </c>
      <c r="AH151" s="171">
        <f t="shared" si="84"/>
        <v>0</v>
      </c>
      <c r="AJ151" s="670">
        <f t="shared" si="85"/>
        <v>0</v>
      </c>
    </row>
    <row r="152" spans="26:36" ht="15.75" customHeight="1">
      <c r="Z152" s="155">
        <f t="shared" si="80"/>
        <v>0</v>
      </c>
      <c r="AA152" s="155">
        <f t="shared" si="81"/>
        <v>0</v>
      </c>
      <c r="AE152" s="155">
        <f t="shared" si="82"/>
        <v>0</v>
      </c>
      <c r="AG152" s="155">
        <f t="shared" si="83"/>
        <v>0</v>
      </c>
      <c r="AH152" s="171">
        <f t="shared" si="84"/>
        <v>0</v>
      </c>
      <c r="AJ152" s="670">
        <f t="shared" si="85"/>
        <v>0</v>
      </c>
    </row>
    <row r="153" spans="26:36" ht="15.75" customHeight="1">
      <c r="Z153" s="155">
        <f t="shared" si="80"/>
        <v>0</v>
      </c>
      <c r="AA153" s="155">
        <f t="shared" si="81"/>
        <v>0</v>
      </c>
      <c r="AE153" s="155">
        <f t="shared" si="82"/>
        <v>0</v>
      </c>
      <c r="AG153" s="155">
        <f t="shared" si="83"/>
        <v>0</v>
      </c>
      <c r="AH153" s="171">
        <f t="shared" si="84"/>
        <v>0</v>
      </c>
      <c r="AJ153" s="670">
        <f t="shared" si="85"/>
        <v>0</v>
      </c>
    </row>
    <row r="154" spans="26:36" ht="15.75" customHeight="1">
      <c r="Z154" s="155">
        <f t="shared" si="80"/>
        <v>0</v>
      </c>
      <c r="AA154" s="155">
        <f t="shared" si="81"/>
        <v>0</v>
      </c>
      <c r="AE154" s="155">
        <f t="shared" si="82"/>
        <v>0</v>
      </c>
      <c r="AG154" s="155">
        <f t="shared" si="83"/>
        <v>0</v>
      </c>
      <c r="AH154" s="171">
        <f t="shared" si="84"/>
        <v>0</v>
      </c>
      <c r="AJ154" s="670">
        <f t="shared" si="85"/>
        <v>0</v>
      </c>
    </row>
    <row r="155" spans="26:36" ht="15.75" customHeight="1">
      <c r="Z155" s="155">
        <f t="shared" si="80"/>
        <v>0</v>
      </c>
      <c r="AA155" s="155">
        <f t="shared" si="81"/>
        <v>0</v>
      </c>
      <c r="AE155" s="155">
        <f t="shared" si="82"/>
        <v>0</v>
      </c>
      <c r="AG155" s="155">
        <f t="shared" si="83"/>
        <v>0</v>
      </c>
      <c r="AH155" s="171">
        <f t="shared" si="84"/>
        <v>0</v>
      </c>
      <c r="AJ155" s="670">
        <f t="shared" si="85"/>
        <v>0</v>
      </c>
    </row>
    <row r="156" spans="26:36" ht="15.75" customHeight="1">
      <c r="Z156" s="155">
        <f t="shared" si="80"/>
        <v>0</v>
      </c>
      <c r="AA156" s="155">
        <f t="shared" si="81"/>
        <v>0</v>
      </c>
      <c r="AE156" s="155">
        <f t="shared" si="82"/>
        <v>0</v>
      </c>
      <c r="AG156" s="155">
        <f t="shared" si="83"/>
        <v>0</v>
      </c>
      <c r="AH156" s="171">
        <f t="shared" si="84"/>
        <v>0</v>
      </c>
      <c r="AJ156" s="670">
        <f t="shared" si="85"/>
        <v>0</v>
      </c>
    </row>
    <row r="157" spans="26:36" ht="15.75" customHeight="1">
      <c r="Z157" s="155">
        <f t="shared" si="80"/>
        <v>0</v>
      </c>
      <c r="AA157" s="155">
        <f t="shared" si="81"/>
        <v>0</v>
      </c>
      <c r="AE157" s="155">
        <f t="shared" si="82"/>
        <v>0</v>
      </c>
      <c r="AG157" s="155">
        <f t="shared" si="83"/>
        <v>0</v>
      </c>
      <c r="AH157" s="171">
        <f t="shared" si="84"/>
        <v>0</v>
      </c>
      <c r="AJ157" s="670">
        <f t="shared" si="85"/>
        <v>0</v>
      </c>
    </row>
    <row r="158" spans="26:36" ht="15.75" customHeight="1">
      <c r="Z158" s="155">
        <f t="shared" si="80"/>
        <v>0</v>
      </c>
      <c r="AA158" s="155">
        <f t="shared" si="81"/>
        <v>0</v>
      </c>
      <c r="AE158" s="155">
        <f t="shared" si="82"/>
        <v>0</v>
      </c>
      <c r="AG158" s="155">
        <f t="shared" si="83"/>
        <v>0</v>
      </c>
      <c r="AH158" s="171">
        <f t="shared" si="84"/>
        <v>0</v>
      </c>
      <c r="AJ158" s="670">
        <f t="shared" si="85"/>
        <v>0</v>
      </c>
    </row>
    <row r="159" spans="26:36" ht="15.75" customHeight="1">
      <c r="Z159" s="155">
        <f t="shared" si="80"/>
        <v>0</v>
      </c>
      <c r="AA159" s="155">
        <f t="shared" si="81"/>
        <v>0</v>
      </c>
      <c r="AE159" s="155">
        <f t="shared" si="82"/>
        <v>0</v>
      </c>
      <c r="AG159" s="155">
        <f t="shared" si="83"/>
        <v>0</v>
      </c>
      <c r="AH159" s="171">
        <f t="shared" si="84"/>
        <v>0</v>
      </c>
      <c r="AJ159" s="670">
        <f t="shared" si="85"/>
        <v>0</v>
      </c>
    </row>
    <row r="160" spans="26:36" ht="15.75" customHeight="1">
      <c r="Z160" s="155">
        <f t="shared" si="80"/>
        <v>0</v>
      </c>
      <c r="AA160" s="155">
        <f t="shared" si="81"/>
        <v>0</v>
      </c>
      <c r="AE160" s="155">
        <f t="shared" si="82"/>
        <v>0</v>
      </c>
      <c r="AG160" s="155">
        <f t="shared" si="83"/>
        <v>0</v>
      </c>
      <c r="AH160" s="171">
        <f t="shared" si="84"/>
        <v>0</v>
      </c>
      <c r="AJ160" s="670">
        <f t="shared" si="85"/>
        <v>0</v>
      </c>
    </row>
    <row r="161" spans="26:36" ht="15.75" customHeight="1">
      <c r="Z161" s="155">
        <f t="shared" si="80"/>
        <v>0</v>
      </c>
      <c r="AA161" s="155">
        <f t="shared" si="81"/>
        <v>0</v>
      </c>
      <c r="AE161" s="155">
        <f t="shared" si="82"/>
        <v>0</v>
      </c>
      <c r="AG161" s="155">
        <f t="shared" si="83"/>
        <v>0</v>
      </c>
      <c r="AH161" s="171">
        <f t="shared" si="84"/>
        <v>0</v>
      </c>
      <c r="AJ161" s="670">
        <f t="shared" si="85"/>
        <v>0</v>
      </c>
    </row>
    <row r="162" spans="26:36" ht="15.75" customHeight="1">
      <c r="Z162" s="155">
        <f t="shared" si="80"/>
        <v>0</v>
      </c>
      <c r="AA162" s="155">
        <f t="shared" si="81"/>
        <v>0</v>
      </c>
      <c r="AE162" s="155">
        <f t="shared" si="82"/>
        <v>0</v>
      </c>
      <c r="AG162" s="155">
        <f t="shared" si="83"/>
        <v>0</v>
      </c>
      <c r="AH162" s="171">
        <f t="shared" si="84"/>
        <v>0</v>
      </c>
      <c r="AJ162" s="670">
        <f t="shared" si="85"/>
        <v>0</v>
      </c>
    </row>
    <row r="163" spans="26:36" ht="15.75" customHeight="1">
      <c r="Z163" s="155">
        <f t="shared" si="80"/>
        <v>0</v>
      </c>
      <c r="AA163" s="155">
        <f t="shared" si="81"/>
        <v>0</v>
      </c>
      <c r="AE163" s="155">
        <f t="shared" si="82"/>
        <v>0</v>
      </c>
      <c r="AG163" s="155">
        <f t="shared" si="83"/>
        <v>0</v>
      </c>
      <c r="AH163" s="171">
        <f t="shared" si="84"/>
        <v>0</v>
      </c>
      <c r="AJ163" s="670">
        <f t="shared" si="85"/>
        <v>0</v>
      </c>
    </row>
    <row r="164" spans="26:36" ht="15.75" customHeight="1">
      <c r="Z164" s="155">
        <f t="shared" si="80"/>
        <v>0</v>
      </c>
      <c r="AA164" s="155">
        <f t="shared" si="81"/>
        <v>0</v>
      </c>
      <c r="AE164" s="155">
        <f t="shared" si="82"/>
        <v>0</v>
      </c>
      <c r="AG164" s="155">
        <f t="shared" si="83"/>
        <v>0</v>
      </c>
      <c r="AH164" s="171">
        <f t="shared" si="84"/>
        <v>0</v>
      </c>
      <c r="AJ164" s="670">
        <f t="shared" si="85"/>
        <v>0</v>
      </c>
    </row>
    <row r="165" spans="26:36" ht="15.75" customHeight="1">
      <c r="Z165" s="155">
        <f t="shared" si="80"/>
        <v>0</v>
      </c>
      <c r="AA165" s="155">
        <f t="shared" si="81"/>
        <v>0</v>
      </c>
      <c r="AE165" s="155">
        <f t="shared" si="82"/>
        <v>0</v>
      </c>
      <c r="AG165" s="155">
        <f t="shared" si="83"/>
        <v>0</v>
      </c>
      <c r="AH165" s="171">
        <f t="shared" si="84"/>
        <v>0</v>
      </c>
      <c r="AJ165" s="670">
        <f t="shared" si="85"/>
        <v>0</v>
      </c>
    </row>
    <row r="166" spans="26:36" ht="15.75" customHeight="1">
      <c r="Z166" s="155">
        <f t="shared" si="80"/>
        <v>0</v>
      </c>
      <c r="AA166" s="155">
        <f t="shared" si="81"/>
        <v>0</v>
      </c>
      <c r="AE166" s="155">
        <f t="shared" si="82"/>
        <v>0</v>
      </c>
      <c r="AG166" s="155">
        <f t="shared" si="83"/>
        <v>0</v>
      </c>
      <c r="AH166" s="171">
        <f t="shared" si="84"/>
        <v>0</v>
      </c>
      <c r="AJ166" s="670">
        <f t="shared" si="85"/>
        <v>0</v>
      </c>
    </row>
    <row r="167" spans="26:36" ht="15.75" customHeight="1">
      <c r="Z167" s="155">
        <f t="shared" si="80"/>
        <v>0</v>
      </c>
      <c r="AA167" s="155">
        <f t="shared" si="81"/>
        <v>0</v>
      </c>
      <c r="AE167" s="155">
        <f t="shared" si="82"/>
        <v>0</v>
      </c>
      <c r="AG167" s="155">
        <f t="shared" si="83"/>
        <v>0</v>
      </c>
      <c r="AH167" s="171">
        <f t="shared" si="84"/>
        <v>0</v>
      </c>
      <c r="AJ167" s="670">
        <f t="shared" si="85"/>
        <v>0</v>
      </c>
    </row>
    <row r="168" spans="26:36" ht="15.75" customHeight="1">
      <c r="Z168" s="155">
        <f t="shared" ref="Z168:Z176" si="86">(_xlfn.XLOOKUP(R168,$R$10:$R$84,$M$10:$M$84,0))</f>
        <v>0</v>
      </c>
      <c r="AA168" s="155">
        <f t="shared" ref="AA168:AA176" si="87">ABS(_xlfn.XLOOKUP(R168,$R$10:$R$84,$AA$10:$AA$84,0))</f>
        <v>0</v>
      </c>
      <c r="AE168" s="155">
        <f t="shared" ref="AE168:AE176" si="88">ABS(_xlfn.XLOOKUP(R168,$R$10:$R$84,$AE$10:$AE$84,0))</f>
        <v>0</v>
      </c>
      <c r="AG168" s="155">
        <f t="shared" ref="AG168:AG176" si="89">ABS(_xlfn.XLOOKUP(R168,$R$10:$R$84,$AG$10:$AG$84,0))</f>
        <v>0</v>
      </c>
      <c r="AH168" s="171">
        <f t="shared" ref="AH168:AH176" si="90">(_xlfn.XLOOKUP(R168,$R$10:$R$84,$AH$10:$AH$84,0))*-1</f>
        <v>0</v>
      </c>
      <c r="AJ168" s="670">
        <f t="shared" ref="AJ168:AJ176" si="91">(_xlfn.XLOOKUP(R168,$R$10:$R$84,$AJ$10:$AJ$84,0))</f>
        <v>0</v>
      </c>
    </row>
    <row r="169" spans="26:36" ht="15.75" customHeight="1">
      <c r="Z169" s="155">
        <f t="shared" si="86"/>
        <v>0</v>
      </c>
      <c r="AA169" s="155">
        <f t="shared" si="87"/>
        <v>0</v>
      </c>
      <c r="AE169" s="155">
        <f t="shared" si="88"/>
        <v>0</v>
      </c>
      <c r="AG169" s="155">
        <f t="shared" si="89"/>
        <v>0</v>
      </c>
      <c r="AH169" s="171">
        <f t="shared" si="90"/>
        <v>0</v>
      </c>
      <c r="AJ169" s="670">
        <f t="shared" si="91"/>
        <v>0</v>
      </c>
    </row>
    <row r="170" spans="26:36" ht="15.75" customHeight="1">
      <c r="Z170" s="155">
        <f t="shared" si="86"/>
        <v>0</v>
      </c>
      <c r="AA170" s="155">
        <f t="shared" si="87"/>
        <v>0</v>
      </c>
      <c r="AE170" s="155">
        <f t="shared" si="88"/>
        <v>0</v>
      </c>
      <c r="AG170" s="155">
        <f t="shared" si="89"/>
        <v>0</v>
      </c>
      <c r="AH170" s="171">
        <f t="shared" si="90"/>
        <v>0</v>
      </c>
      <c r="AJ170" s="670">
        <f t="shared" si="91"/>
        <v>0</v>
      </c>
    </row>
    <row r="171" spans="26:36" ht="15.75" customHeight="1">
      <c r="Z171" s="155">
        <f t="shared" si="86"/>
        <v>0</v>
      </c>
      <c r="AA171" s="155">
        <f t="shared" si="87"/>
        <v>0</v>
      </c>
      <c r="AE171" s="155">
        <f t="shared" si="88"/>
        <v>0</v>
      </c>
      <c r="AG171" s="155">
        <f t="shared" si="89"/>
        <v>0</v>
      </c>
      <c r="AH171" s="171">
        <f t="shared" si="90"/>
        <v>0</v>
      </c>
      <c r="AJ171" s="670">
        <f t="shared" si="91"/>
        <v>0</v>
      </c>
    </row>
    <row r="172" spans="26:36" ht="15.75" customHeight="1">
      <c r="Z172" s="155">
        <f t="shared" si="86"/>
        <v>0</v>
      </c>
      <c r="AA172" s="155">
        <f t="shared" si="87"/>
        <v>0</v>
      </c>
      <c r="AE172" s="155">
        <f t="shared" si="88"/>
        <v>0</v>
      </c>
      <c r="AG172" s="155">
        <f t="shared" si="89"/>
        <v>0</v>
      </c>
      <c r="AH172" s="171">
        <f t="shared" si="90"/>
        <v>0</v>
      </c>
      <c r="AJ172" s="670">
        <f t="shared" si="91"/>
        <v>0</v>
      </c>
    </row>
    <row r="173" spans="26:36" ht="15.75" customHeight="1">
      <c r="Z173" s="155">
        <f t="shared" si="86"/>
        <v>0</v>
      </c>
      <c r="AA173" s="155">
        <f t="shared" si="87"/>
        <v>0</v>
      </c>
      <c r="AE173" s="155">
        <f t="shared" si="88"/>
        <v>0</v>
      </c>
      <c r="AG173" s="155">
        <f t="shared" si="89"/>
        <v>0</v>
      </c>
      <c r="AH173" s="171">
        <f t="shared" si="90"/>
        <v>0</v>
      </c>
      <c r="AJ173" s="670">
        <f t="shared" si="91"/>
        <v>0</v>
      </c>
    </row>
    <row r="174" spans="26:36" ht="15.75" customHeight="1">
      <c r="Z174" s="155">
        <f t="shared" si="86"/>
        <v>0</v>
      </c>
      <c r="AA174" s="155">
        <f t="shared" si="87"/>
        <v>0</v>
      </c>
      <c r="AE174" s="155">
        <f t="shared" si="88"/>
        <v>0</v>
      </c>
      <c r="AG174" s="155">
        <f t="shared" si="89"/>
        <v>0</v>
      </c>
      <c r="AH174" s="171">
        <f t="shared" si="90"/>
        <v>0</v>
      </c>
      <c r="AJ174" s="670">
        <f t="shared" si="91"/>
        <v>0</v>
      </c>
    </row>
    <row r="175" spans="26:36" ht="15.75" customHeight="1">
      <c r="Z175" s="155">
        <f t="shared" si="86"/>
        <v>0</v>
      </c>
      <c r="AA175" s="155">
        <f t="shared" si="87"/>
        <v>0</v>
      </c>
      <c r="AE175" s="155">
        <f t="shared" si="88"/>
        <v>0</v>
      </c>
      <c r="AG175" s="155">
        <f t="shared" si="89"/>
        <v>0</v>
      </c>
      <c r="AH175" s="171">
        <f t="shared" si="90"/>
        <v>0</v>
      </c>
      <c r="AJ175" s="670">
        <f t="shared" si="91"/>
        <v>0</v>
      </c>
    </row>
    <row r="176" spans="26:36" ht="15.75" customHeight="1">
      <c r="Z176" s="155">
        <f t="shared" si="86"/>
        <v>0</v>
      </c>
      <c r="AA176" s="155">
        <f t="shared" si="87"/>
        <v>0</v>
      </c>
      <c r="AE176" s="155">
        <f t="shared" si="88"/>
        <v>0</v>
      </c>
      <c r="AG176" s="155">
        <f t="shared" si="89"/>
        <v>0</v>
      </c>
      <c r="AH176" s="171">
        <f t="shared" si="90"/>
        <v>0</v>
      </c>
      <c r="AJ176" s="670">
        <f t="shared" si="91"/>
        <v>0</v>
      </c>
    </row>
    <row r="178" spans="31:40" ht="15.75" customHeight="1" thickBot="1">
      <c r="AE178" s="672">
        <f ca="1">SUM(AE104:AE177)</f>
        <v>109667.00999999998</v>
      </c>
      <c r="AF178" s="671"/>
      <c r="AG178" s="672">
        <f>SUM(AG104:AG177)</f>
        <v>109486.56000000001</v>
      </c>
      <c r="AH178" s="672">
        <f ca="1">SUM(AH104:AH177)</f>
        <v>-180.45000000000505</v>
      </c>
      <c r="AL178" s="671" t="s">
        <v>0</v>
      </c>
      <c r="AM178" s="672">
        <f ca="1">SUM(AM104:AM177)</f>
        <v>25912.75</v>
      </c>
      <c r="AN178" s="155" t="s">
        <v>0</v>
      </c>
    </row>
    <row r="179" spans="31:40" ht="15.75" customHeight="1" thickTop="1"/>
  </sheetData>
  <dataConsolidate/>
  <mergeCells count="11">
    <mergeCell ref="AT7:BC7"/>
    <mergeCell ref="B2:L2"/>
    <mergeCell ref="B3:L3"/>
    <mergeCell ref="B4:L4"/>
    <mergeCell ref="B7:L7"/>
    <mergeCell ref="M7:U7"/>
    <mergeCell ref="V7:X7"/>
    <mergeCell ref="Y7:AB7"/>
    <mergeCell ref="AC7:AF7"/>
    <mergeCell ref="AG7:AJ7"/>
    <mergeCell ref="AL7:AP7"/>
  </mergeCells>
  <dataValidations count="1">
    <dataValidation allowBlank="1" sqref="AV35:AV37 AV9:AV10 AV14:AV27 AV30:AV31 V9:V84 L9:L99" xr:uid="{74B95D71-F8D6-4DF6-9302-3C8D081C195B}"/>
  </dataValidations>
  <hyperlinks>
    <hyperlink ref="A10" location="'TABLE OF CONTENTS'!A1" display="INDEX" xr:uid="{E5614BF3-42C7-4F02-B1E0-D5AFFA2B9424}"/>
    <hyperlink ref="A1" location="'TABLE OF CONTENTS'!A1" display="INDEX" xr:uid="{B666D30C-CFDB-43B7-8CAA-EBF196315498}"/>
  </hyperlinks>
  <pageMargins left="0.7" right="0.7" top="0.75" bottom="0.75" header="0.3" footer="0.3"/>
  <pageSetup orientation="portrait" r:id="rId1"/>
  <tableParts count="2">
    <tablePart r:id="rId2"/>
    <tablePart r:id="rId3"/>
  </tableParts>
  <extLst>
    <ext xmlns:x14="http://schemas.microsoft.com/office/spreadsheetml/2009/9/main" uri="{CCE6A557-97BC-4b89-ADB6-D9C93CAAB3DF}">
      <x14:dataValidations xmlns:xm="http://schemas.microsoft.com/office/excel/2006/main" count="2">
        <x14:dataValidation type="list" errorStyle="warning" allowBlank="1" showInputMessage="1" showErrorMessage="1" xr:uid="{4996DC22-2831-48C7-9741-B280E475ADE9}">
          <x14:formula1>
            <xm:f>SYMBOLS!$D$5:$D$229</xm:f>
          </x14:formula1>
          <xm:sqref>D9:D84</xm:sqref>
        </x14:dataValidation>
        <x14:dataValidation type="list" allowBlank="1" showInputMessage="1" showErrorMessage="1" xr:uid="{685F5BE7-93E2-433F-996F-A59CA7072022}">
          <x14:formula1>
            <xm:f>Broker_mapping!$B$4:$B$22</xm:f>
          </x14:formula1>
          <xm:sqref>E9:E84</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AAEDC-4659-4D31-8F37-B7B7458FA189}">
  <sheetPr codeName="Sheet37">
    <tabColor rgb="FF0070C0"/>
    <outlinePr summaryBelow="0" summaryRight="0"/>
  </sheetPr>
  <dimension ref="A1:BE50"/>
  <sheetViews>
    <sheetView workbookViewId="0">
      <pane ySplit="9" topLeftCell="A19" activePane="bottomLeft" state="frozen"/>
      <selection activeCell="R22" sqref="R22"/>
      <selection pane="bottomLeft" activeCell="B5" sqref="B5"/>
    </sheetView>
  </sheetViews>
  <sheetFormatPr defaultColWidth="12.5703125" defaultRowHeight="15.75" customHeight="1"/>
  <cols>
    <col min="1" max="1" width="3" style="155" customWidth="1"/>
    <col min="2" max="2" width="8.7109375" style="155" customWidth="1"/>
    <col min="3" max="3" width="11.140625" style="155" customWidth="1"/>
    <col min="4" max="4" width="20.85546875" style="155" customWidth="1"/>
    <col min="5" max="5" width="8.42578125" style="155" customWidth="1"/>
    <col min="6" max="6" width="13" style="155" customWidth="1"/>
    <col min="7" max="7" width="11" style="155" customWidth="1"/>
    <col min="8" max="8" width="8.5703125" style="155" customWidth="1"/>
    <col min="9" max="9" width="14.85546875" style="155" customWidth="1"/>
    <col min="10" max="10" width="14.42578125" style="155" customWidth="1"/>
    <col min="11" max="11" width="17.140625" style="155" customWidth="1"/>
    <col min="12" max="12" width="33.7109375" style="155" customWidth="1"/>
    <col min="13" max="13" width="11.7109375" style="155" hidden="1" customWidth="1"/>
    <col min="14" max="14" width="4.85546875" style="155" hidden="1" customWidth="1"/>
    <col min="15" max="15" width="4.5703125" style="155" hidden="1" customWidth="1"/>
    <col min="16" max="16" width="5.140625" style="155" hidden="1" customWidth="1"/>
    <col min="17" max="17" width="4.42578125" style="155" hidden="1" customWidth="1"/>
    <col min="18" max="18" width="6.28515625" style="155" hidden="1" customWidth="1"/>
    <col min="19" max="19" width="8.5703125" style="155" hidden="1" customWidth="1"/>
    <col min="20" max="20" width="10.7109375" style="155" hidden="1" customWidth="1"/>
    <col min="21" max="21" width="12.5703125" style="171" hidden="1" customWidth="1"/>
    <col min="22" max="23" width="12.5703125" style="155" hidden="1" customWidth="1"/>
    <col min="24" max="24" width="12.5703125" style="176" hidden="1" customWidth="1"/>
    <col min="25" max="25" width="12.5703125" style="155" hidden="1" customWidth="1"/>
    <col min="26" max="26" width="12.5703125" style="176" hidden="1" customWidth="1"/>
    <col min="27" max="27" width="12.5703125" style="155" hidden="1" customWidth="1"/>
    <col min="28" max="28" width="14.85546875" style="654" hidden="1" customWidth="1"/>
    <col min="29" max="29" width="12.5703125" style="654" hidden="1" customWidth="1"/>
    <col min="30" max="31" width="12.5703125" style="155" hidden="1" customWidth="1"/>
    <col min="32" max="32" width="12.5703125" style="171" hidden="1" customWidth="1"/>
    <col min="33" max="33" width="12.5703125" style="221" hidden="1" customWidth="1"/>
    <col min="34" max="34" width="15.42578125" style="155" hidden="1" customWidth="1"/>
    <col min="35" max="35" width="12.5703125" style="155" hidden="1" customWidth="1"/>
    <col min="36" max="37" width="12.5703125" style="655" hidden="1" customWidth="1"/>
    <col min="38" max="38" width="12.5703125" style="654" hidden="1" customWidth="1"/>
    <col min="39" max="39" width="12" style="198" hidden="1" customWidth="1"/>
    <col min="40" max="41" width="12" style="155" hidden="1" customWidth="1"/>
    <col min="42" max="42" width="12.140625" style="155" hidden="1" customWidth="1"/>
    <col min="43" max="43" width="3.42578125" style="155" hidden="1" customWidth="1"/>
    <col min="44" max="44" width="3.42578125" style="155" customWidth="1"/>
    <col min="45" max="45" width="12.5703125" style="155"/>
    <col min="46" max="46" width="24.28515625" style="155" hidden="1" customWidth="1"/>
    <col min="47" max="47" width="5.7109375" style="155" hidden="1" customWidth="1"/>
    <col min="48" max="48" width="29.28515625" style="155" hidden="1" customWidth="1"/>
    <col min="49" max="49" width="19" style="155" hidden="1" customWidth="1"/>
    <col min="50" max="50" width="16.85546875" style="155" hidden="1" customWidth="1"/>
    <col min="51" max="51" width="13.28515625" style="155" hidden="1" customWidth="1"/>
    <col min="52" max="52" width="0" style="155" hidden="1" customWidth="1"/>
    <col min="53" max="53" width="14.85546875" style="155" hidden="1" customWidth="1"/>
    <col min="54" max="54" width="14.7109375" style="155" hidden="1" customWidth="1"/>
    <col min="55" max="55" width="0" style="155" hidden="1" customWidth="1"/>
    <col min="56" max="56" width="17" style="155" bestFit="1" customWidth="1"/>
    <col min="57" max="16384" width="12.5703125" style="155"/>
  </cols>
  <sheetData>
    <row r="1" spans="1:57" ht="15.75" customHeight="1">
      <c r="A1" s="59" t="s">
        <v>1650</v>
      </c>
      <c r="B1"/>
      <c r="C1" s="63" t="s">
        <v>1080</v>
      </c>
      <c r="D1"/>
      <c r="E1" s="625" t="s">
        <v>0</v>
      </c>
      <c r="F1" s="1157"/>
      <c r="G1" s="1157"/>
      <c r="H1" s="1157"/>
      <c r="I1" s="1157"/>
      <c r="J1" s="1157"/>
      <c r="K1" s="1157"/>
      <c r="L1" s="1157"/>
      <c r="M1" s="1158" t="s">
        <v>0</v>
      </c>
      <c r="N1" s="1158"/>
      <c r="O1" s="1158" t="s">
        <v>0</v>
      </c>
      <c r="P1" s="1158" t="s">
        <v>0</v>
      </c>
      <c r="Q1" s="1158" t="s">
        <v>0</v>
      </c>
      <c r="R1" s="1158" t="s">
        <v>0</v>
      </c>
      <c r="S1" s="1158" t="s">
        <v>0</v>
      </c>
      <c r="T1" s="1158"/>
      <c r="U1" s="1158" t="s">
        <v>0</v>
      </c>
      <c r="V1" s="1158" t="s">
        <v>0</v>
      </c>
      <c r="W1" s="1158" t="s">
        <v>0</v>
      </c>
      <c r="X1" s="1159" t="s">
        <v>0</v>
      </c>
      <c r="Y1" s="1158" t="s">
        <v>0</v>
      </c>
      <c r="Z1" s="1159"/>
      <c r="AA1" s="1158" t="s">
        <v>0</v>
      </c>
      <c r="AB1" s="645" t="s">
        <v>0</v>
      </c>
      <c r="AC1" s="645" t="s">
        <v>0</v>
      </c>
      <c r="AD1" s="1158" t="s">
        <v>0</v>
      </c>
      <c r="AE1" s="1158"/>
      <c r="AF1" s="1160" t="s">
        <v>0</v>
      </c>
      <c r="AG1" s="1161" t="s">
        <v>0</v>
      </c>
      <c r="AH1" s="1158" t="s">
        <v>0</v>
      </c>
      <c r="AI1" s="1158" t="s">
        <v>0</v>
      </c>
      <c r="AJ1" s="643" t="s">
        <v>0</v>
      </c>
      <c r="AK1" s="643"/>
      <c r="AL1" s="643" t="s">
        <v>0</v>
      </c>
      <c r="AM1" s="644" t="s">
        <v>0</v>
      </c>
      <c r="AN1" s="643"/>
      <c r="AO1" s="643"/>
      <c r="AP1" s="643" t="s">
        <v>0</v>
      </c>
      <c r="AQ1" s="643" t="s">
        <v>0</v>
      </c>
      <c r="AR1" s="643"/>
      <c r="AT1" s="587"/>
      <c r="AU1" s="587"/>
      <c r="AV1" s="587"/>
      <c r="AX1" s="588"/>
      <c r="AY1" s="588"/>
      <c r="BD1" s="589"/>
    </row>
    <row r="2" spans="1:57" ht="15.75" customHeight="1">
      <c r="A2" s="205" t="s">
        <v>0</v>
      </c>
      <c r="B2" s="1333" t="str">
        <f>COA!B2</f>
        <v>ANONYMOUS COMPANY</v>
      </c>
      <c r="C2" s="1333"/>
      <c r="D2" s="1333"/>
      <c r="E2" s="1333"/>
      <c r="F2" s="1333"/>
      <c r="G2" s="1333"/>
      <c r="H2" s="1333"/>
      <c r="I2" s="1333"/>
      <c r="J2" s="1333"/>
      <c r="K2" s="1333"/>
      <c r="L2" s="1333"/>
      <c r="M2" s="1158"/>
      <c r="N2" s="1158"/>
      <c r="O2" s="1158"/>
      <c r="P2" s="1158"/>
      <c r="Q2" s="1158"/>
      <c r="R2" s="1158" t="s">
        <v>0</v>
      </c>
      <c r="S2" s="1158" t="s">
        <v>0</v>
      </c>
      <c r="T2" s="1158"/>
      <c r="U2" s="1158"/>
      <c r="V2" s="1158"/>
      <c r="W2" s="1158"/>
      <c r="X2" s="1159"/>
      <c r="Y2" s="1158"/>
      <c r="Z2" s="1159"/>
      <c r="AA2" s="1158"/>
      <c r="AB2" s="645"/>
      <c r="AC2" s="645"/>
      <c r="AD2" s="1158"/>
      <c r="AE2" s="1158"/>
      <c r="AF2" s="1160"/>
      <c r="AG2" s="1161"/>
      <c r="AH2" s="1158"/>
      <c r="AI2" s="1158"/>
      <c r="AJ2" s="643"/>
      <c r="AK2" s="643"/>
      <c r="AL2" s="643" t="s">
        <v>0</v>
      </c>
      <c r="AM2" s="644" t="s">
        <v>0</v>
      </c>
      <c r="AN2" s="643"/>
      <c r="AO2" s="643"/>
      <c r="AP2" s="643" t="s">
        <v>0</v>
      </c>
      <c r="AQ2" s="643" t="s">
        <v>0</v>
      </c>
      <c r="AR2" s="643"/>
      <c r="AT2" s="590"/>
      <c r="AU2" s="590"/>
      <c r="AV2" s="591"/>
      <c r="AW2" s="198"/>
      <c r="AX2" s="198"/>
      <c r="AY2" s="198"/>
      <c r="AZ2" s="592"/>
      <c r="BA2" s="593"/>
    </row>
    <row r="3" spans="1:57" ht="15.75" customHeight="1">
      <c r="A3" s="205" t="s">
        <v>0</v>
      </c>
      <c r="B3" s="1333" t="s">
        <v>848</v>
      </c>
      <c r="C3" s="1333"/>
      <c r="D3" s="1333"/>
      <c r="E3" s="1333"/>
      <c r="F3" s="1333"/>
      <c r="G3" s="1333"/>
      <c r="H3" s="1333"/>
      <c r="I3" s="1333"/>
      <c r="J3" s="1333"/>
      <c r="K3" s="1333"/>
      <c r="L3" s="1333"/>
      <c r="M3" s="1158"/>
      <c r="N3" s="1158"/>
      <c r="O3" s="1158"/>
      <c r="P3" s="1158"/>
      <c r="Q3" s="1158"/>
      <c r="R3" s="1158" t="s">
        <v>0</v>
      </c>
      <c r="S3" s="1158" t="s">
        <v>0</v>
      </c>
      <c r="T3" s="1158"/>
      <c r="U3" s="1158"/>
      <c r="V3" s="1158"/>
      <c r="W3" s="1158"/>
      <c r="X3" s="1159"/>
      <c r="Y3" s="1158"/>
      <c r="Z3" s="1159"/>
      <c r="AA3" s="1158"/>
      <c r="AB3" s="645"/>
      <c r="AC3" s="645"/>
      <c r="AD3" s="1158"/>
      <c r="AE3" s="1158"/>
      <c r="AF3" s="1160"/>
      <c r="AG3" s="1161"/>
      <c r="AH3" s="1158"/>
      <c r="AI3" s="1158"/>
      <c r="AJ3" s="643"/>
      <c r="AK3" s="643"/>
      <c r="AL3" s="643" t="s">
        <v>0</v>
      </c>
      <c r="AM3" s="644" t="s">
        <v>0</v>
      </c>
      <c r="AN3" s="643"/>
      <c r="AO3" s="643"/>
      <c r="AP3" s="643" t="s">
        <v>0</v>
      </c>
      <c r="AQ3" s="643" t="s">
        <v>0</v>
      </c>
      <c r="AR3" s="643"/>
      <c r="AT3" s="594"/>
      <c r="AU3" s="594"/>
      <c r="AW3" s="591"/>
      <c r="AX3" s="171"/>
      <c r="AY3" s="198"/>
      <c r="AZ3" s="592"/>
      <c r="BA3" s="593"/>
    </row>
    <row r="4" spans="1:57" ht="15.75" customHeight="1">
      <c r="A4" s="205"/>
      <c r="B4" s="1298" t="str">
        <f>"AS AT "&amp;UPPER(TEXT(COA!B4,"MMMM DD, YYYY"))</f>
        <v>AS AT DECEMBER 31, 2025</v>
      </c>
      <c r="C4" s="1298"/>
      <c r="D4" s="1298"/>
      <c r="E4" s="1298"/>
      <c r="F4" s="1298"/>
      <c r="G4" s="1298"/>
      <c r="H4" s="1298"/>
      <c r="I4" s="1298"/>
      <c r="J4" s="1298"/>
      <c r="K4" s="1298"/>
      <c r="L4" s="1298"/>
      <c r="M4" s="1158"/>
      <c r="N4" s="1158"/>
      <c r="O4" s="1158"/>
      <c r="P4" s="1158"/>
      <c r="Q4" s="1158"/>
      <c r="R4" s="1158"/>
      <c r="S4" s="1158"/>
      <c r="T4" s="1158"/>
      <c r="U4" s="1158"/>
      <c r="V4" s="1158"/>
      <c r="W4" s="1158"/>
      <c r="X4" s="1159"/>
      <c r="Y4" s="1158"/>
      <c r="Z4" s="1159"/>
      <c r="AA4" s="1158"/>
      <c r="AB4" s="645"/>
      <c r="AC4" s="645"/>
      <c r="AD4" s="1158"/>
      <c r="AE4" s="1158"/>
      <c r="AF4" s="1160"/>
      <c r="AG4" s="1161"/>
      <c r="AH4" s="1158"/>
      <c r="AI4" s="1158"/>
      <c r="AJ4" s="643"/>
      <c r="AK4" s="643"/>
      <c r="AL4" s="643"/>
      <c r="AM4" s="644"/>
      <c r="AN4" s="643"/>
      <c r="AO4" s="643"/>
      <c r="AP4" s="643"/>
      <c r="AQ4" s="643"/>
      <c r="AR4" s="643"/>
      <c r="AT4" s="594"/>
      <c r="AU4" s="594"/>
      <c r="AV4" s="155" t="s">
        <v>0</v>
      </c>
      <c r="AW4" s="171"/>
      <c r="AX4" s="171"/>
      <c r="AY4" s="171"/>
      <c r="AZ4" s="592"/>
      <c r="BA4" s="593"/>
    </row>
    <row r="5" spans="1:57" ht="15.75" customHeight="1">
      <c r="A5" s="206"/>
      <c r="B5" s="625" t="s">
        <v>0</v>
      </c>
      <c r="C5" s="625"/>
      <c r="D5" s="625"/>
      <c r="E5" s="625" t="s">
        <v>0</v>
      </c>
      <c r="F5" s="625"/>
      <c r="G5" s="625"/>
      <c r="H5" s="625"/>
      <c r="I5" s="625"/>
      <c r="J5" s="625"/>
      <c r="K5" s="625"/>
      <c r="L5" s="625"/>
      <c r="M5" s="1155"/>
      <c r="N5" s="1155"/>
      <c r="O5" s="1155"/>
      <c r="P5" s="1155"/>
      <c r="Q5" s="1155"/>
      <c r="R5" s="1158" t="s">
        <v>0</v>
      </c>
      <c r="S5" s="1158" t="s">
        <v>0</v>
      </c>
      <c r="T5" s="1158"/>
      <c r="U5" s="1156"/>
      <c r="V5" s="1155"/>
      <c r="W5" s="1155"/>
      <c r="X5" s="1162"/>
      <c r="Y5" s="1155"/>
      <c r="Z5" s="1162"/>
      <c r="AA5" s="1163"/>
      <c r="AB5" s="1164"/>
      <c r="AC5" s="1164"/>
      <c r="AD5" s="1155"/>
      <c r="AE5" s="1155"/>
      <c r="AF5" s="1156"/>
      <c r="AG5" s="1165"/>
      <c r="AH5" s="1166"/>
      <c r="AI5" s="1155"/>
      <c r="AJ5" s="643" t="s">
        <v>0</v>
      </c>
      <c r="AK5" s="643"/>
      <c r="AL5" s="643" t="s">
        <v>0</v>
      </c>
      <c r="AM5" s="644" t="s">
        <v>0</v>
      </c>
      <c r="AN5" s="643"/>
      <c r="AO5" s="643"/>
      <c r="AP5" s="643" t="s">
        <v>0</v>
      </c>
      <c r="AQ5" s="643" t="s">
        <v>0</v>
      </c>
      <c r="AR5" s="643"/>
      <c r="AX5" s="171"/>
      <c r="AY5" s="171"/>
      <c r="BA5" s="593"/>
    </row>
    <row r="6" spans="1:57" ht="15.75" customHeight="1">
      <c r="A6" s="207" t="s">
        <v>0</v>
      </c>
      <c r="B6" s="625" t="s">
        <v>0</v>
      </c>
      <c r="C6" s="194" t="s">
        <v>1017</v>
      </c>
      <c r="D6" s="1167" t="s">
        <v>0</v>
      </c>
      <c r="E6" s="1155" t="s">
        <v>0</v>
      </c>
      <c r="F6" s="625" t="s">
        <v>0</v>
      </c>
      <c r="G6" s="625"/>
      <c r="H6" s="625"/>
      <c r="I6" s="625" t="s">
        <v>1639</v>
      </c>
      <c r="J6" s="1168">
        <v>100000</v>
      </c>
      <c r="K6" s="625">
        <v>1.4390000000000001</v>
      </c>
      <c r="L6" s="1168" t="s">
        <v>0</v>
      </c>
      <c r="M6" s="1155" t="s">
        <v>0</v>
      </c>
      <c r="N6" s="1155" t="s">
        <v>0</v>
      </c>
      <c r="O6" s="1155"/>
      <c r="P6" s="1155"/>
      <c r="Q6" s="1155"/>
      <c r="R6" s="1158" t="s">
        <v>0</v>
      </c>
      <c r="S6" s="1158" t="s">
        <v>0</v>
      </c>
      <c r="T6" s="1158"/>
      <c r="U6" s="1156"/>
      <c r="V6" s="1169" t="s">
        <v>0</v>
      </c>
      <c r="W6" s="1155"/>
      <c r="X6" s="1162"/>
      <c r="Y6" s="1155"/>
      <c r="Z6" s="1162"/>
      <c r="AA6" s="1163"/>
      <c r="AB6" s="1164"/>
      <c r="AC6" s="1164"/>
      <c r="AD6" s="1155"/>
      <c r="AE6" s="1155"/>
      <c r="AF6" s="1156"/>
      <c r="AG6" s="1165"/>
      <c r="AH6" s="1166"/>
      <c r="AI6" s="1155"/>
      <c r="AJ6" s="643" t="s">
        <v>0</v>
      </c>
      <c r="AK6" s="643"/>
      <c r="AL6" s="643" t="s">
        <v>0</v>
      </c>
      <c r="AM6" s="644" t="s">
        <v>0</v>
      </c>
      <c r="AN6" s="643"/>
      <c r="AO6" s="643"/>
      <c r="AP6" s="643" t="s">
        <v>0</v>
      </c>
      <c r="AQ6" s="643" t="s">
        <v>0</v>
      </c>
      <c r="AR6" s="643"/>
      <c r="AT6" s="596"/>
      <c r="AU6" s="596"/>
      <c r="AV6" s="591"/>
      <c r="AW6" s="591"/>
      <c r="AX6" s="591"/>
      <c r="AY6" s="597"/>
      <c r="AZ6" s="592"/>
      <c r="BA6" s="593"/>
      <c r="BC6" s="596"/>
      <c r="BD6" s="591"/>
      <c r="BE6" s="598"/>
    </row>
    <row r="7" spans="1:57" ht="15.75" customHeight="1" thickBot="1">
      <c r="A7" s="177"/>
      <c r="B7" s="208"/>
      <c r="C7" s="208"/>
      <c r="D7" s="208"/>
      <c r="E7" s="208"/>
      <c r="F7" s="208"/>
      <c r="G7" s="208"/>
      <c r="H7" s="208"/>
      <c r="I7" s="208"/>
      <c r="J7" s="208"/>
      <c r="K7" s="208"/>
      <c r="L7" s="208"/>
      <c r="M7" s="158"/>
      <c r="N7" s="158"/>
      <c r="O7" s="156"/>
      <c r="P7" s="158"/>
      <c r="Q7" s="158"/>
      <c r="R7" s="158"/>
      <c r="S7" s="158"/>
      <c r="T7" s="158"/>
      <c r="U7" s="157" t="s">
        <v>0</v>
      </c>
      <c r="V7" s="158"/>
      <c r="W7" s="158" t="s">
        <v>1</v>
      </c>
      <c r="X7" s="174"/>
      <c r="Y7" s="158" t="s">
        <v>0</v>
      </c>
      <c r="Z7" s="174"/>
      <c r="AA7" s="160" t="s">
        <v>0</v>
      </c>
      <c r="AB7" s="599" t="s">
        <v>0</v>
      </c>
      <c r="AC7" s="599" t="s">
        <v>0</v>
      </c>
      <c r="AD7" s="158" t="s">
        <v>0</v>
      </c>
      <c r="AE7" s="158"/>
      <c r="AF7" s="157"/>
      <c r="AG7" s="219"/>
      <c r="AH7" s="162"/>
      <c r="AI7" s="158"/>
      <c r="AJ7" s="600" t="s">
        <v>0</v>
      </c>
      <c r="AK7" s="600"/>
      <c r="AL7" s="599" t="s">
        <v>0</v>
      </c>
      <c r="AM7" s="161" t="s">
        <v>0</v>
      </c>
      <c r="AN7" s="159"/>
      <c r="AO7" s="159"/>
      <c r="AP7" s="159" t="s">
        <v>0</v>
      </c>
      <c r="AQ7" s="159" t="s">
        <v>0</v>
      </c>
      <c r="AR7" s="159"/>
      <c r="AX7" s="171"/>
      <c r="AY7" s="171"/>
      <c r="BA7" s="593"/>
    </row>
    <row r="8" spans="1:57" ht="15.75" customHeight="1" thickTop="1">
      <c r="A8" s="177"/>
      <c r="B8" s="1334" t="s">
        <v>744</v>
      </c>
      <c r="C8" s="1335"/>
      <c r="D8" s="1335"/>
      <c r="E8" s="1335"/>
      <c r="F8" s="1335"/>
      <c r="G8" s="1335"/>
      <c r="H8" s="1335"/>
      <c r="I8" s="1335"/>
      <c r="J8" s="1335"/>
      <c r="K8" s="1335"/>
      <c r="L8" s="1336"/>
      <c r="M8" s="1334" t="s">
        <v>745</v>
      </c>
      <c r="N8" s="1335"/>
      <c r="O8" s="1335"/>
      <c r="P8" s="1335"/>
      <c r="Q8" s="1335"/>
      <c r="R8" s="1335"/>
      <c r="S8" s="1335"/>
      <c r="T8" s="1335"/>
      <c r="U8" s="1336"/>
      <c r="V8" s="1334" t="s">
        <v>746</v>
      </c>
      <c r="W8" s="1335"/>
      <c r="X8" s="1335"/>
      <c r="Y8" s="1334" t="s">
        <v>747</v>
      </c>
      <c r="Z8" s="1335"/>
      <c r="AA8" s="1335"/>
      <c r="AB8" s="1336"/>
      <c r="AC8" s="1334" t="s">
        <v>26</v>
      </c>
      <c r="AD8" s="1335"/>
      <c r="AE8" s="1335"/>
      <c r="AF8" s="1336"/>
      <c r="AG8" s="1334" t="s">
        <v>748</v>
      </c>
      <c r="AH8" s="1335"/>
      <c r="AI8" s="1335"/>
      <c r="AJ8" s="1336"/>
      <c r="AK8" s="601"/>
      <c r="AL8" s="1337" t="s">
        <v>749</v>
      </c>
      <c r="AM8" s="1337"/>
      <c r="AN8" s="1337"/>
      <c r="AO8" s="1337"/>
      <c r="AP8" s="1338"/>
      <c r="AQ8" s="159" t="s">
        <v>0</v>
      </c>
      <c r="AR8" s="159"/>
      <c r="AT8" s="1332" t="s">
        <v>750</v>
      </c>
      <c r="AU8" s="1332"/>
      <c r="AV8" s="1332"/>
      <c r="AW8" s="1332"/>
      <c r="AX8" s="1332"/>
      <c r="AY8" s="1332"/>
      <c r="AZ8" s="1332"/>
      <c r="BA8" s="1332"/>
      <c r="BB8" s="1332"/>
      <c r="BC8" s="1332"/>
    </row>
    <row r="9" spans="1:57" ht="48.75" customHeight="1">
      <c r="A9" s="177"/>
      <c r="B9" s="602" t="s">
        <v>8</v>
      </c>
      <c r="C9" s="165" t="s">
        <v>6</v>
      </c>
      <c r="D9" s="209" t="s">
        <v>9</v>
      </c>
      <c r="E9" s="209" t="s">
        <v>238</v>
      </c>
      <c r="F9" s="209" t="s">
        <v>7</v>
      </c>
      <c r="G9" s="209" t="s">
        <v>225</v>
      </c>
      <c r="H9" s="209" t="s">
        <v>11</v>
      </c>
      <c r="I9" s="209" t="s">
        <v>226</v>
      </c>
      <c r="J9" s="209" t="s">
        <v>751</v>
      </c>
      <c r="K9" s="209" t="s">
        <v>47</v>
      </c>
      <c r="L9" s="603" t="s">
        <v>10</v>
      </c>
      <c r="M9" s="604" t="s">
        <v>227</v>
      </c>
      <c r="N9" s="163" t="s">
        <v>223</v>
      </c>
      <c r="O9" s="163" t="s">
        <v>2</v>
      </c>
      <c r="P9" s="164" t="s">
        <v>38</v>
      </c>
      <c r="Q9" s="164" t="s">
        <v>752</v>
      </c>
      <c r="R9" s="165" t="s">
        <v>4</v>
      </c>
      <c r="S9" s="166" t="s">
        <v>5</v>
      </c>
      <c r="T9" s="167" t="s">
        <v>753</v>
      </c>
      <c r="U9" s="167" t="s">
        <v>754</v>
      </c>
      <c r="V9" s="605" t="s">
        <v>254</v>
      </c>
      <c r="W9" s="167" t="s">
        <v>12</v>
      </c>
      <c r="X9" s="606" t="s">
        <v>13</v>
      </c>
      <c r="Y9" s="175" t="s">
        <v>15</v>
      </c>
      <c r="Z9" s="163" t="s">
        <v>14</v>
      </c>
      <c r="AA9" s="175" t="s">
        <v>19</v>
      </c>
      <c r="AB9" s="607" t="s">
        <v>16</v>
      </c>
      <c r="AC9" s="608" t="s">
        <v>18</v>
      </c>
      <c r="AD9" s="609" t="s">
        <v>17</v>
      </c>
      <c r="AE9" s="169" t="s">
        <v>755</v>
      </c>
      <c r="AF9" s="610" t="s">
        <v>756</v>
      </c>
      <c r="AG9" s="611" t="s">
        <v>757</v>
      </c>
      <c r="AH9" s="168" t="s">
        <v>21</v>
      </c>
      <c r="AI9" s="220" t="s">
        <v>20</v>
      </c>
      <c r="AJ9" s="607" t="s">
        <v>22</v>
      </c>
      <c r="AK9" s="163" t="s">
        <v>758</v>
      </c>
      <c r="AL9" s="612" t="s">
        <v>749</v>
      </c>
      <c r="AM9" s="613" t="s">
        <v>26</v>
      </c>
      <c r="AN9" s="609" t="s">
        <v>27</v>
      </c>
      <c r="AO9" s="609" t="s">
        <v>759</v>
      </c>
      <c r="AP9" s="614" t="s">
        <v>78</v>
      </c>
      <c r="AQ9" s="159" t="s">
        <v>0</v>
      </c>
      <c r="AR9" s="159"/>
      <c r="AT9" s="155" t="s">
        <v>238</v>
      </c>
      <c r="AU9" s="155" t="s">
        <v>40</v>
      </c>
      <c r="AV9" s="155" t="s">
        <v>45</v>
      </c>
      <c r="AW9" s="155" t="s">
        <v>13</v>
      </c>
      <c r="AX9" s="615" t="s">
        <v>760</v>
      </c>
      <c r="AY9" s="588" t="s">
        <v>761</v>
      </c>
      <c r="AZ9" s="588" t="s">
        <v>762</v>
      </c>
      <c r="BA9" s="588" t="s">
        <v>763</v>
      </c>
      <c r="BB9" s="588" t="s">
        <v>764</v>
      </c>
      <c r="BC9" s="155" t="s">
        <v>765</v>
      </c>
    </row>
    <row r="10" spans="1:57" s="179" customFormat="1" ht="15.75" customHeight="1">
      <c r="A10" s="177" t="s">
        <v>0</v>
      </c>
      <c r="B10" s="616" t="s">
        <v>0</v>
      </c>
      <c r="C10" s="617" t="str">
        <f>$C$6</f>
        <v>BK-US</v>
      </c>
      <c r="D10" s="183" t="s">
        <v>0</v>
      </c>
      <c r="E10" s="179" t="s">
        <v>229</v>
      </c>
      <c r="F10" s="180">
        <v>45291</v>
      </c>
      <c r="G10" s="1095" t="str">
        <f t="shared" ref="G10" si="0">IF(H10&lt;&gt;0,J10/H10*-1," ")</f>
        <v xml:space="preserve"> </v>
      </c>
      <c r="H10" s="191">
        <v>0</v>
      </c>
      <c r="J10" s="187">
        <v>176.75</v>
      </c>
      <c r="K10" s="1095">
        <f>J10</f>
        <v>176.75</v>
      </c>
      <c r="L10" s="1100" t="str" cm="1">
        <f t="array" ref="L10">IFERROR(INDEX(M_TRX_TYPE[#Data], U10, MATCH($C$6,M_TRX_TYPE[#Headers], 0)), "")</f>
        <v>1119 Bank Transfer Account</v>
      </c>
      <c r="M10" s="1102" t="str">
        <f t="shared" ref="M10" si="1">IF(OR(E10="O",E10="B",E10="S"),D10,"")</f>
        <v/>
      </c>
      <c r="N10" s="1103">
        <f>IF((O10="H"),(MAX($N8:N$9)+1),0)</f>
        <v>0</v>
      </c>
      <c r="O10" s="1204" t="str">
        <f t="shared" ref="O10:O34" si="2">IF(S10=1,IF((SUMIF($M$8:$M$93,M10,$Z$8:$Z$93)+SUMIF($M$8:$M$93,M10,$AA$8:$AA$93))&gt;0,"H",""),"")</f>
        <v/>
      </c>
      <c r="P10" s="1105">
        <v>0</v>
      </c>
      <c r="Q10" s="1106">
        <f>IF((E10="B"),(MAX($Q$7:Q8)+1),0)</f>
        <v>0</v>
      </c>
      <c r="R10" s="1106">
        <f>IF((AG10&lt;0),(MAX($R8:$R$9)+1),0)</f>
        <v>0</v>
      </c>
      <c r="S10" s="1086">
        <f>IF((M10=""),0,COUNTIF($M$9:M10,M10))</f>
        <v>0</v>
      </c>
      <c r="T10" s="1086" t="str">
        <f>IFERROR(MATCH(M10,M_SYMBOL[SYMBOL],0),"")</f>
        <v/>
      </c>
      <c r="U10" s="1070">
        <f>IFERROR(MATCH(E10,M_TRX_TYPE[TYPE],0),"")</f>
        <v>17</v>
      </c>
      <c r="V10" s="1107">
        <f t="shared" ref="V10" si="3">IF((E10="O"),H10,0)</f>
        <v>0</v>
      </c>
      <c r="W10" s="1095">
        <f t="shared" ref="W10" si="4">IF((E10="O"),J10,IF(E10="OC",J10,0))</f>
        <v>176.75</v>
      </c>
      <c r="X10" s="1108">
        <f t="shared" ref="X10" si="5">IF(OR(E10="O",E10="OC"),0,J10*-1)</f>
        <v>0</v>
      </c>
      <c r="Y10" s="1109">
        <f>IF(S10=1,0,IF(M10="",0,IF(S10&gt;1,(SUMIF($M8:Z$9,M10,$Z8:Z$9))+(SUMIF($M8:Z$9,M10,$AA8:AA$9)),0)))</f>
        <v>0</v>
      </c>
      <c r="Z10" s="1110">
        <f t="shared" ref="Z10" si="6">IF(E10="B",H10,IF(E10="O",H10,0))</f>
        <v>0</v>
      </c>
      <c r="AA10" s="1111">
        <f t="shared" ref="AA10" si="7">IF(E10="S",H10,0)</f>
        <v>0</v>
      </c>
      <c r="AB10" s="1112">
        <f>DE_BKUS[[#This Row],[PREVIOUS
UNITS]]+DE_BKUS[[#This Row],[SHARES
BOUGHT]]+DE_BKUS[[#This Row],[SHARES 
SOLD]]</f>
        <v>0</v>
      </c>
      <c r="AC10" s="1113">
        <f>IF(S10=1,0,IF(M10="",0,IF(S10&gt;1,SUMIF($M8:AE$9,M10,$AE8:AE$9)+SUMIF($M8:AE$9,M10,$AD8:AD$9),0)))</f>
        <v>0</v>
      </c>
      <c r="AD10" s="1114">
        <f t="shared" ref="AD10" si="8">IF(M10="",0,IF(OR(E10="B",E10="O"),J10*-1,0))</f>
        <v>0</v>
      </c>
      <c r="AE10" s="1115">
        <f t="shared" ref="AE10" si="9">IF(E10="S",(AC10/Y10)*H10,0)</f>
        <v>0</v>
      </c>
      <c r="AF10" s="1116">
        <f t="shared" ref="AF10" si="10">AC10+AD10+AE10</f>
        <v>0</v>
      </c>
      <c r="AG10" s="1117">
        <f t="shared" ref="AG10" si="11">IF(M10="",0,IF(OR(E10="S"),J10*-1,0))</f>
        <v>0</v>
      </c>
      <c r="AH10" s="1115">
        <f>DE_BKUS[[#This Row],[PROCEEDS]]-DE_BKUS[[#This Row],[SOLD]]</f>
        <v>0</v>
      </c>
      <c r="AI10" s="1118" t="str">
        <f>IF(AB10=0, IF(AND(OR(E10="B", E10="O"), D10=D8), F10, ""), IF(F8="", F10, IF(D10=D8, AI8, F10)))</f>
        <v/>
      </c>
      <c r="AJ10" s="1119" t="str">
        <f>IF(E10="S", DATEDIF(_xlfn.MAXIFS($F10:F$11, $D10:D$11, D10, $AB10:AB$11, "&gt;0"), F10, "d"), "")</f>
        <v/>
      </c>
      <c r="AK10" s="1118" t="str">
        <f>IF(O10="H",DE_BKUS[[#This Row],[DATE]],"")</f>
        <v/>
      </c>
      <c r="AL10" s="1120" t="str">
        <f t="shared" ref="AL10:AL34" si="12">IF(O10="","",IF(O10="H",SUMIF($M$9:$Z$43,M10,$Z$9:$Z$43)+SUMIF($M$9:$AA$43,M10,$AA$9:$AA$43)))</f>
        <v/>
      </c>
      <c r="AM10" s="1121">
        <f t="shared" ref="AM10:AM34" si="13">IF(O10="H",SUMIF($M$9:$AF$43,M10,$AD$9:$AD$43)+SUMIF($M$9:$AF$43,M10,$AE$9:$AE$43),0)</f>
        <v>0</v>
      </c>
      <c r="AN10" s="1122">
        <v>0</v>
      </c>
      <c r="AO10" s="1122">
        <f>IFERROR(DE_BKUS[[#This Row],[MKT]]*DE_BKUS[[#This Row],[HOLDINGS]],0)</f>
        <v>0</v>
      </c>
      <c r="AP10" s="1123" t="str">
        <f t="shared" ref="AP10" si="14">IF(E10="D",J10," ")</f>
        <v xml:space="preserve"> </v>
      </c>
      <c r="AQ10" s="159" t="s">
        <v>0</v>
      </c>
      <c r="AR10" s="159"/>
      <c r="AT10" s="1069" t="s">
        <v>229</v>
      </c>
      <c r="AU10" s="1070">
        <f>IFERROR(MATCH(AT10,M_TRX_TYPE[TYPE],0),"")</f>
        <v>17</v>
      </c>
      <c r="AV10" s="1071" t="str" cm="1">
        <f t="array" ref="AV10">IFERROR(INDEX(M_TRX_TYPE[#Data], AU10, MATCH($C$6, M_TRX_TYPE[#Headers], 0)), "")</f>
        <v>1119 Bank Transfer Account</v>
      </c>
      <c r="AW10" s="1072">
        <f ca="1">SUMIF($E$11:$X$48,AT10,$X$11:$X$48)</f>
        <v>176.75</v>
      </c>
      <c r="AX10" s="1073">
        <v>0</v>
      </c>
      <c r="AY10" s="1074">
        <f ca="1">FR_U1[[#This Row],[AMOUNT]]</f>
        <v>176.75</v>
      </c>
      <c r="AZ10" s="1074">
        <v>0</v>
      </c>
      <c r="BA10" s="1075" t="s">
        <v>767</v>
      </c>
      <c r="BB10" s="1076">
        <f>K6</f>
        <v>1.4390000000000001</v>
      </c>
      <c r="BC10" s="1073">
        <f ca="1">FR_U1[[#This Row],[EXCHANGE
RATE]]*FR_U1[[#This Row],[AMOUNT]]</f>
        <v>254.34325000000001</v>
      </c>
    </row>
    <row r="11" spans="1:57" s="179" customFormat="1" ht="15.75" customHeight="1">
      <c r="A11" s="177"/>
      <c r="B11" s="616">
        <v>100</v>
      </c>
      <c r="C11" s="617" t="str">
        <f>$C$6</f>
        <v>BK-US</v>
      </c>
      <c r="D11" s="183" t="s">
        <v>228</v>
      </c>
      <c r="E11" s="179" t="s">
        <v>229</v>
      </c>
      <c r="F11" s="180">
        <v>45291</v>
      </c>
      <c r="G11" s="1095" t="str">
        <f t="shared" ref="G11:G34" si="15">IF(H11&lt;&gt;0,J11/H11*-1," ")</f>
        <v xml:space="preserve"> </v>
      </c>
      <c r="H11" s="191">
        <v>0</v>
      </c>
      <c r="J11" s="187">
        <v>176.75</v>
      </c>
      <c r="K11" s="1095">
        <f>J11</f>
        <v>176.75</v>
      </c>
      <c r="L11" s="1100" t="str" cm="1">
        <f t="array" ref="L11">IFERROR(INDEX(M_TRX_TYPE[#Data], U11, MATCH($C$6,M_TRX_TYPE[#Headers], 0)), "")</f>
        <v>1119 Bank Transfer Account</v>
      </c>
      <c r="M11" s="1102" t="str">
        <f t="shared" ref="M11:M33" si="16">IF(OR(E11="O",E11="B",E11="S"),D11,"")</f>
        <v/>
      </c>
      <c r="N11" s="1103">
        <f>IF((O11="H"),(MAX($N$9:N9)+1),0)</f>
        <v>0</v>
      </c>
      <c r="O11" s="1204" t="str">
        <f t="shared" si="2"/>
        <v/>
      </c>
      <c r="P11" s="1105">
        <v>0</v>
      </c>
      <c r="Q11" s="1106">
        <f>IF((E11="B"),(MAX($Q$7:Q9)+1),0)</f>
        <v>0</v>
      </c>
      <c r="R11" s="1106">
        <f>IF((AG11&lt;0),(MAX($R9:$R$9)+1),0)</f>
        <v>0</v>
      </c>
      <c r="S11" s="1086">
        <f>IF((M11=""),0,COUNTIF($M$9:M11,M11))</f>
        <v>0</v>
      </c>
      <c r="T11" s="1086" t="str">
        <f>IFERROR(MATCH(M11,M_SYMBOL[SYMBOL],0),"")</f>
        <v/>
      </c>
      <c r="U11" s="1070">
        <f>IFERROR(MATCH(E11,M_TRX_TYPE[TYPE],0),"")</f>
        <v>17</v>
      </c>
      <c r="V11" s="1107">
        <f t="shared" ref="V11:V33" si="17">IF((E11="O"),H11,0)</f>
        <v>0</v>
      </c>
      <c r="W11" s="1095">
        <f t="shared" ref="W11:W33" si="18">IF((E11="O"),J11,IF(E11="OC",J11,0))</f>
        <v>176.75</v>
      </c>
      <c r="X11" s="1108">
        <f t="shared" ref="X11:X33" si="19">IF(OR(E11="O",E11="OC"),0,J11*-1)</f>
        <v>0</v>
      </c>
      <c r="Y11" s="1109">
        <f>IF(S11=1,0,IF(M11="",0,IF(S11&gt;1,(SUMIF($M$9:Z9,M11,$Z$9:Z9))+(SUMIF($M$9:Z9,M11,$AA$9:AA9)),0)))</f>
        <v>0</v>
      </c>
      <c r="Z11" s="1110">
        <f t="shared" ref="Z11:Z33" si="20">IF(E11="B",H11,IF(E11="O",H11,0))</f>
        <v>0</v>
      </c>
      <c r="AA11" s="1111">
        <f t="shared" ref="AA11:AA33" si="21">IF(E11="S",H11,0)</f>
        <v>0</v>
      </c>
      <c r="AB11" s="1112">
        <f>DE_BKUS[[#This Row],[PREVIOUS
UNITS]]+DE_BKUS[[#This Row],[SHARES
BOUGHT]]+DE_BKUS[[#This Row],[SHARES 
SOLD]]</f>
        <v>0</v>
      </c>
      <c r="AC11" s="1113">
        <f>IF(S11=1,0,IF(M11="",0,IF(S11&gt;1,SUMIF($M$9:AE9,M11,$AE$9:AE9)+SUMIF($M$9:AE9,M11,$AD$9:AD9),0)))</f>
        <v>0</v>
      </c>
      <c r="AD11" s="1114">
        <f t="shared" ref="AD11:AD33" si="22">IF(M11="",0,IF(OR(E11="B",E11="O"),J11*-1,0))</f>
        <v>0</v>
      </c>
      <c r="AE11" s="1115">
        <f t="shared" ref="AE11:AE33" si="23">IF(E11="S",(AC11/Y11)*H11,0)</f>
        <v>0</v>
      </c>
      <c r="AF11" s="1116">
        <f t="shared" ref="AF11:AF33" si="24">AC11+AD11+AE11</f>
        <v>0</v>
      </c>
      <c r="AG11" s="1117">
        <f t="shared" ref="AG11:AG33" si="25">IF(M11="",0,IF(OR(E11="S"),J11*-1,0))</f>
        <v>0</v>
      </c>
      <c r="AH11" s="1115">
        <f>DE_BKUS[[#This Row],[PROCEEDS]]-DE_BKUS[[#This Row],[SOLD]]</f>
        <v>0</v>
      </c>
      <c r="AI11" s="1118" t="str">
        <f>IF(AB11=0, IF(AND(OR(E11="B", E11="O"), D11=D9), F11, ""), IF(F9="", F11, IF(D11=D9, AI9, F11)))</f>
        <v/>
      </c>
      <c r="AJ11" s="1119" t="str">
        <f>IF(E11="S", DATEDIF(_xlfn.MAXIFS($F$11:F11, $D$11:D11, D11, $AB$11:AB11, "&gt;0"), F11, "d"), "")</f>
        <v/>
      </c>
      <c r="AK11" s="1118" t="str">
        <f>IF(O11="H",DE_BKUS[[#This Row],[DATE]],"")</f>
        <v/>
      </c>
      <c r="AL11" s="1120" t="str">
        <f t="shared" si="12"/>
        <v/>
      </c>
      <c r="AM11" s="1121">
        <f t="shared" si="13"/>
        <v>0</v>
      </c>
      <c r="AN11" s="1122">
        <v>0</v>
      </c>
      <c r="AO11" s="1122">
        <f>IFERROR(DE_BKUS[[#This Row],[MKT]]*DE_BKUS[[#This Row],[HOLDINGS]],0)</f>
        <v>0</v>
      </c>
      <c r="AP11" s="1123" t="str">
        <f t="shared" ref="AP11:AP33" si="26">IF(E11="D",J11," ")</f>
        <v xml:space="preserve"> </v>
      </c>
      <c r="AQ11" s="159" t="s">
        <v>0</v>
      </c>
      <c r="AR11" s="159"/>
      <c r="AT11" s="1077" t="s">
        <v>23</v>
      </c>
      <c r="AU11" s="1070">
        <f>IFERROR(MATCH(AT11,M_TRX_TYPE[TYPE],0),"")</f>
        <v>13</v>
      </c>
      <c r="AV11" s="1071" t="str" cm="1">
        <f t="array" ref="AV11">IFERROR(INDEX(M_TRX_TYPE[#Data], AU11, MATCH($C$6, M_TRX_TYPE[#Headers], 0)), "")</f>
        <v>1119 Bank Transfer Account</v>
      </c>
      <c r="AW11" s="1078">
        <v>0</v>
      </c>
      <c r="AX11" s="1072">
        <f ca="1">SUMIF($E$11:$AO$48,AT11,$J$11:$J$48)*-1</f>
        <v>94233.040000000008</v>
      </c>
      <c r="AY11" s="1079">
        <f>$J$6</f>
        <v>100000</v>
      </c>
      <c r="AZ11" s="1080">
        <f ca="1">FR_U1[[#This Row],[TOTAL
MKT PY/CY]]-FR_U1[[#This Row],[SECURITIES]]</f>
        <v>5766.9599999999919</v>
      </c>
      <c r="BA11" s="1075" t="s">
        <v>767</v>
      </c>
      <c r="BB11" s="1081">
        <f>K6</f>
        <v>1.4390000000000001</v>
      </c>
      <c r="BC11" s="1073">
        <f>FR_U1[[#This Row],[EXCHANGE
RATE]]*FR_U1[[#This Row],[TOTAL
MKT PY/CY]]</f>
        <v>143900</v>
      </c>
    </row>
    <row r="12" spans="1:57" s="179" customFormat="1" ht="15.75" customHeight="1">
      <c r="A12" s="177"/>
      <c r="B12" s="622">
        <v>101</v>
      </c>
      <c r="C12" s="617" t="str">
        <f t="shared" ref="C12:C34" si="27">$C$6</f>
        <v>BK-US</v>
      </c>
      <c r="D12" s="183" t="s">
        <v>768</v>
      </c>
      <c r="E12" s="179" t="s">
        <v>23</v>
      </c>
      <c r="F12" s="180">
        <v>45291</v>
      </c>
      <c r="G12" s="1096">
        <f t="shared" si="15"/>
        <v>163.98783333333333</v>
      </c>
      <c r="H12" s="192">
        <v>60</v>
      </c>
      <c r="I12" s="186"/>
      <c r="J12" s="193">
        <v>-9839.27</v>
      </c>
      <c r="K12" s="1095">
        <f t="shared" ref="K12:K27" si="28">IF((E12="O"),K11,(K11+J12))</f>
        <v>176.75</v>
      </c>
      <c r="L12" s="1100" t="str" cm="1">
        <f t="array" ref="L12">IFERROR(INDEX(M_TRX_TYPE[#Data], U12, MATCH($C$6,M_TRX_TYPE[#Headers], 0)), "")</f>
        <v>1119 Bank Transfer Account</v>
      </c>
      <c r="M12" s="1102" t="str">
        <f t="shared" si="16"/>
        <v>GOOGL</v>
      </c>
      <c r="N12" s="1103">
        <f>IF((O12="H"),(MAX($N$9:N11)+1),0)</f>
        <v>1</v>
      </c>
      <c r="O12" s="1204" t="str">
        <f t="shared" si="2"/>
        <v>H</v>
      </c>
      <c r="P12" s="1105" cm="1">
        <f t="array" ref="P12">MAX(IF($D$11:$D$34=D12, $S$11:$S$34))</f>
        <v>1</v>
      </c>
      <c r="Q12" s="1106">
        <f>IF((E12="B"),(MAX($Q$7:Q11)+1),0)</f>
        <v>0</v>
      </c>
      <c r="R12" s="1106">
        <f>IF((AG12&lt;0),(MAX($R$9:$R11)+1),0)</f>
        <v>0</v>
      </c>
      <c r="S12" s="1086">
        <f>IF((M12=""),0,COUNTIF($M$9:M12,M12))</f>
        <v>1</v>
      </c>
      <c r="T12" s="1086">
        <f>IFERROR(MATCH(M12,M_SYMBOL[SYMBOL],0),"")</f>
        <v>24</v>
      </c>
      <c r="U12" s="1070">
        <f>IFERROR(MATCH(E12,M_TRX_TYPE[TYPE],0),"")</f>
        <v>13</v>
      </c>
      <c r="V12" s="1107">
        <f t="shared" si="17"/>
        <v>60</v>
      </c>
      <c r="W12" s="1095">
        <f t="shared" si="18"/>
        <v>-9839.27</v>
      </c>
      <c r="X12" s="1108">
        <f t="shared" si="19"/>
        <v>0</v>
      </c>
      <c r="Y12" s="1109">
        <f>IF(S12=1,0,IF(M12="",0,IF(S12&gt;1,(SUMIF($M$9:Z11,M12,$Z$9:Z11))+(SUMIF($M$9:Z11,M12,$AA$9:AA11)),0)))</f>
        <v>0</v>
      </c>
      <c r="Z12" s="1110">
        <f t="shared" si="20"/>
        <v>60</v>
      </c>
      <c r="AA12" s="1111">
        <f t="shared" si="21"/>
        <v>0</v>
      </c>
      <c r="AB12" s="1112">
        <f>DE_BKUS[[#This Row],[PREVIOUS
UNITS]]+DE_BKUS[[#This Row],[SHARES
BOUGHT]]+DE_BKUS[[#This Row],[SHARES 
SOLD]]</f>
        <v>60</v>
      </c>
      <c r="AC12" s="1113">
        <f>IF(S12=1,0,IF(M12="",0,IF(S12&gt;1,SUMIF($M$9:AE11,M12,$AE$9:AE11)+SUMIF($M$9:AE11,M12,$AD$9:AD11),0)))</f>
        <v>0</v>
      </c>
      <c r="AD12" s="1114">
        <f t="shared" si="22"/>
        <v>9839.27</v>
      </c>
      <c r="AE12" s="1115">
        <f t="shared" si="23"/>
        <v>0</v>
      </c>
      <c r="AF12" s="1116">
        <f t="shared" si="24"/>
        <v>9839.27</v>
      </c>
      <c r="AG12" s="1117">
        <f t="shared" si="25"/>
        <v>0</v>
      </c>
      <c r="AH12" s="1115">
        <f>DE_BKUS[[#This Row],[PROCEEDS]]-DE_BKUS[[#This Row],[SOLD]]</f>
        <v>0</v>
      </c>
      <c r="AI12" s="1118">
        <f t="shared" ref="AI12:AI33" si="29">IF(AB12=0, IF(AND(OR(E12="B", E12="O"), D12=D11), F12, ""), IF(F11="", F12, IF(D12=D11, AI11, F12)))</f>
        <v>45291</v>
      </c>
      <c r="AJ12" s="1119" t="str">
        <f>IF(E12="S", DATEDIF(_xlfn.MAXIFS($F$11:F12, $D$11:D12, D12, $AB$11:AB12, "&gt;0"), F12, "d"), "")</f>
        <v/>
      </c>
      <c r="AK12" s="1118">
        <f>IF(O12="H",DE_BKUS[[#This Row],[DATE]],"")</f>
        <v>45291</v>
      </c>
      <c r="AL12" s="1120">
        <f t="shared" ca="1" si="12"/>
        <v>60</v>
      </c>
      <c r="AM12" s="1121">
        <f t="shared" ca="1" si="13"/>
        <v>9839.27</v>
      </c>
      <c r="AN12" s="1122">
        <v>0</v>
      </c>
      <c r="AO12" s="1122">
        <f ca="1">IFERROR(DE_BKUS[[#This Row],[MKT]]*DE_BKUS[[#This Row],[HOLDINGS]],0)</f>
        <v>0</v>
      </c>
      <c r="AP12" s="1123" t="str">
        <f t="shared" si="26"/>
        <v xml:space="preserve"> </v>
      </c>
      <c r="AQ12" s="159" t="s">
        <v>0</v>
      </c>
      <c r="AR12" s="159"/>
      <c r="AT12" s="1082" t="s">
        <v>770</v>
      </c>
      <c r="AU12" s="1082" t="s">
        <v>28</v>
      </c>
      <c r="AV12" s="1082" t="s">
        <v>0</v>
      </c>
      <c r="AW12" s="1083">
        <f ca="1">AW11+AW10</f>
        <v>176.75</v>
      </c>
      <c r="AX12" s="1083">
        <f ca="1">AX11+AX10</f>
        <v>94233.040000000008</v>
      </c>
      <c r="AY12" s="1083">
        <f ca="1">AY11+AY10</f>
        <v>100176.75</v>
      </c>
      <c r="AZ12" s="1084"/>
      <c r="BA12" s="1085"/>
      <c r="BB12" s="1085">
        <f ca="1">FR_U1[[#This Row],[CDN $]]-FR_U1[[#This Row],[SECURITIES]]</f>
        <v>49921.303249999997</v>
      </c>
      <c r="BC12" s="1083">
        <f ca="1">BC11+BC10</f>
        <v>144154.34325000001</v>
      </c>
    </row>
    <row r="13" spans="1:57" s="179" customFormat="1" ht="15.75" customHeight="1">
      <c r="A13" s="177"/>
      <c r="B13" s="624">
        <v>102</v>
      </c>
      <c r="C13" s="617" t="str">
        <f t="shared" si="27"/>
        <v>BK-US</v>
      </c>
      <c r="D13" s="183" t="s">
        <v>769</v>
      </c>
      <c r="E13" s="179" t="s">
        <v>23</v>
      </c>
      <c r="F13" s="180">
        <v>45291</v>
      </c>
      <c r="G13" s="1096">
        <f t="shared" si="15"/>
        <v>198.44119999999998</v>
      </c>
      <c r="H13" s="182">
        <v>50</v>
      </c>
      <c r="I13" s="183"/>
      <c r="J13" s="184">
        <v>-9922.06</v>
      </c>
      <c r="K13" s="1095">
        <f t="shared" si="28"/>
        <v>176.75</v>
      </c>
      <c r="L13" s="1100" t="str" cm="1">
        <f t="array" ref="L13">IFERROR(INDEX(M_TRX_TYPE[#Data], U13, MATCH($C$6,M_TRX_TYPE[#Headers], 0)), "")</f>
        <v>1119 Bank Transfer Account</v>
      </c>
      <c r="M13" s="1102" t="str">
        <f t="shared" si="16"/>
        <v>AMZN</v>
      </c>
      <c r="N13" s="1103">
        <f>IF((O13="H"),(MAX($N$9:N12)+1),0)</f>
        <v>2</v>
      </c>
      <c r="O13" s="1204" t="str">
        <f t="shared" si="2"/>
        <v>H</v>
      </c>
      <c r="P13" s="1105" cm="1">
        <f t="array" ref="P13">MAX(IF($D$11:$D$34=D13, $S$11:$S$34))</f>
        <v>1</v>
      </c>
      <c r="Q13" s="1106">
        <f>IF((E13="B"),(MAX($Q$7:Q12)+1),0)</f>
        <v>0</v>
      </c>
      <c r="R13" s="1106">
        <f>IF((AG13&lt;0),(MAX($R$9:$R12)+1),0)</f>
        <v>0</v>
      </c>
      <c r="S13" s="1086">
        <f>IF((M13=""),0,COUNTIF($M$9:M13,M13))</f>
        <v>1</v>
      </c>
      <c r="T13" s="1086">
        <f>IFERROR(MATCH(M13,M_SYMBOL[SYMBOL],0),"")</f>
        <v>26</v>
      </c>
      <c r="U13" s="1070">
        <f>IFERROR(MATCH(E13,M_TRX_TYPE[TYPE],0),"")</f>
        <v>13</v>
      </c>
      <c r="V13" s="1107">
        <f t="shared" si="17"/>
        <v>50</v>
      </c>
      <c r="W13" s="1095">
        <f t="shared" si="18"/>
        <v>-9922.06</v>
      </c>
      <c r="X13" s="1108">
        <f t="shared" si="19"/>
        <v>0</v>
      </c>
      <c r="Y13" s="1109">
        <f>IF(S13=1,0,IF(M13="",0,IF(S13&gt;1,(SUMIF($M$9:Z12,M13,$Z$9:Z12))+(SUMIF($M$9:Z12,M13,$AA$9:AA12)),0)))</f>
        <v>0</v>
      </c>
      <c r="Z13" s="1110">
        <f t="shared" si="20"/>
        <v>50</v>
      </c>
      <c r="AA13" s="1111">
        <f t="shared" si="21"/>
        <v>0</v>
      </c>
      <c r="AB13" s="1112">
        <f>DE_BKUS[[#This Row],[PREVIOUS
UNITS]]+DE_BKUS[[#This Row],[SHARES
BOUGHT]]+DE_BKUS[[#This Row],[SHARES 
SOLD]]</f>
        <v>50</v>
      </c>
      <c r="AC13" s="1113">
        <f>IF(S13=1,0,IF(M13="",0,IF(S13&gt;1,SUMIF($M$9:AE12,M13,$AE$9:AE12)+SUMIF($M$9:AE12,M13,$AD$9:AD12),0)))</f>
        <v>0</v>
      </c>
      <c r="AD13" s="1114">
        <f t="shared" si="22"/>
        <v>9922.06</v>
      </c>
      <c r="AE13" s="1115">
        <f t="shared" si="23"/>
        <v>0</v>
      </c>
      <c r="AF13" s="1116">
        <f t="shared" si="24"/>
        <v>9922.06</v>
      </c>
      <c r="AG13" s="1117">
        <f t="shared" si="25"/>
        <v>0</v>
      </c>
      <c r="AH13" s="1115">
        <f>DE_BKUS[[#This Row],[PROCEEDS]]-DE_BKUS[[#This Row],[SOLD]]</f>
        <v>0</v>
      </c>
      <c r="AI13" s="1118">
        <f t="shared" si="29"/>
        <v>45291</v>
      </c>
      <c r="AJ13" s="1119" t="str">
        <f>IF(E13="S", DATEDIF(_xlfn.MAXIFS($F$11:F13, $D$11:D13, D13, $AB$11:AB13, "&gt;0"), F13, "d"), "")</f>
        <v/>
      </c>
      <c r="AK13" s="1118">
        <f>IF(O13="H",DE_BKUS[[#This Row],[DATE]],"")</f>
        <v>45291</v>
      </c>
      <c r="AL13" s="1120">
        <f t="shared" ca="1" si="12"/>
        <v>50</v>
      </c>
      <c r="AM13" s="1121">
        <f t="shared" ca="1" si="13"/>
        <v>9922.06</v>
      </c>
      <c r="AN13" s="1122">
        <v>0</v>
      </c>
      <c r="AO13" s="1122">
        <f ca="1">IFERROR(DE_BKUS[[#This Row],[MKT]]*DE_BKUS[[#This Row],[HOLDINGS]],0)</f>
        <v>0</v>
      </c>
      <c r="AP13" s="1123" t="str">
        <f t="shared" si="26"/>
        <v xml:space="preserve"> </v>
      </c>
      <c r="AQ13" s="159" t="s">
        <v>0</v>
      </c>
      <c r="AR13" s="159"/>
      <c r="AT13" s="1086"/>
      <c r="AU13" s="1082" t="s">
        <v>28</v>
      </c>
      <c r="AV13" s="1082" t="s">
        <v>0</v>
      </c>
      <c r="AW13" s="1087"/>
      <c r="AX13" s="1073"/>
      <c r="AY13" s="1074"/>
      <c r="AZ13" s="1074"/>
      <c r="BA13" s="1081"/>
      <c r="BB13" s="1081"/>
      <c r="BC13" s="1073"/>
      <c r="BE13" s="185"/>
    </row>
    <row r="14" spans="1:57" s="179" customFormat="1" ht="15.75" customHeight="1">
      <c r="A14" s="177"/>
      <c r="B14" s="624">
        <v>103</v>
      </c>
      <c r="C14" s="617" t="str">
        <f t="shared" si="27"/>
        <v>BK-US</v>
      </c>
      <c r="D14" s="183" t="s">
        <v>771</v>
      </c>
      <c r="E14" s="179" t="s">
        <v>23</v>
      </c>
      <c r="F14" s="180">
        <v>45642</v>
      </c>
      <c r="G14" s="1096">
        <f t="shared" si="15"/>
        <v>237.71785714285713</v>
      </c>
      <c r="H14" s="182">
        <v>42</v>
      </c>
      <c r="I14" s="183"/>
      <c r="J14" s="184">
        <v>-9984.15</v>
      </c>
      <c r="K14" s="1095">
        <f t="shared" si="28"/>
        <v>176.75</v>
      </c>
      <c r="L14" s="1100" t="str" cm="1">
        <f t="array" ref="L14">IFERROR(INDEX(M_TRX_TYPE[#Data], U14, MATCH($C$6,M_TRX_TYPE[#Headers], 0)), "")</f>
        <v>1119 Bank Transfer Account</v>
      </c>
      <c r="M14" s="1102" t="str">
        <f t="shared" si="16"/>
        <v>AVGO</v>
      </c>
      <c r="N14" s="1103">
        <f>IF((O14="H"),(MAX($N$9:N13)+1),0)</f>
        <v>3</v>
      </c>
      <c r="O14" s="1204" t="str">
        <f t="shared" si="2"/>
        <v>H</v>
      </c>
      <c r="P14" s="1105" cm="1">
        <f t="array" ref="P14">MAX(IF($D$11:$D$34=D14, $S$11:$S$34))</f>
        <v>1</v>
      </c>
      <c r="Q14" s="1106">
        <f>IF((E14="B"),(MAX($Q$7:Q13)+1),0)</f>
        <v>0</v>
      </c>
      <c r="R14" s="1106">
        <f>IF((AG14&lt;0),(MAX($R$9:$R13)+1),0)</f>
        <v>0</v>
      </c>
      <c r="S14" s="1086">
        <f>IF((M14=""),0,COUNTIF($M$9:M14,M14))</f>
        <v>1</v>
      </c>
      <c r="T14" s="1086">
        <f>IFERROR(MATCH(M14,M_SYMBOL[SYMBOL],0),"")</f>
        <v>49</v>
      </c>
      <c r="U14" s="1070">
        <f>IFERROR(MATCH(E14,M_TRX_TYPE[TYPE],0),"")</f>
        <v>13</v>
      </c>
      <c r="V14" s="1107">
        <f t="shared" si="17"/>
        <v>42</v>
      </c>
      <c r="W14" s="1095">
        <f t="shared" si="18"/>
        <v>-9984.15</v>
      </c>
      <c r="X14" s="1108">
        <f t="shared" si="19"/>
        <v>0</v>
      </c>
      <c r="Y14" s="1109">
        <f>IF(S14=1,0,IF(M14="",0,IF(S14&gt;1,(SUMIF($M$9:Z13,M14,$Z$9:Z13))+(SUMIF($M$9:Z13,M14,$AA$9:AA13)),0)))</f>
        <v>0</v>
      </c>
      <c r="Z14" s="1110">
        <f t="shared" si="20"/>
        <v>42</v>
      </c>
      <c r="AA14" s="1111">
        <f t="shared" si="21"/>
        <v>0</v>
      </c>
      <c r="AB14" s="1112">
        <f>DE_BKUS[[#This Row],[PREVIOUS
UNITS]]+DE_BKUS[[#This Row],[SHARES
BOUGHT]]+DE_BKUS[[#This Row],[SHARES 
SOLD]]</f>
        <v>42</v>
      </c>
      <c r="AC14" s="1113">
        <f>IF(S14=1,0,IF(M14="",0,IF(S14&gt;1,SUMIF($M$9:AE13,M14,$AE$9:AE13)+SUMIF($M$9:AE13,M14,$AD$9:AD13),0)))</f>
        <v>0</v>
      </c>
      <c r="AD14" s="1114">
        <f t="shared" si="22"/>
        <v>9984.15</v>
      </c>
      <c r="AE14" s="1115">
        <f t="shared" si="23"/>
        <v>0</v>
      </c>
      <c r="AF14" s="1116">
        <f t="shared" si="24"/>
        <v>9984.15</v>
      </c>
      <c r="AG14" s="1117">
        <f t="shared" si="25"/>
        <v>0</v>
      </c>
      <c r="AH14" s="1115">
        <f>DE_BKUS[[#This Row],[PROCEEDS]]-DE_BKUS[[#This Row],[SOLD]]</f>
        <v>0</v>
      </c>
      <c r="AI14" s="1118">
        <f t="shared" si="29"/>
        <v>45642</v>
      </c>
      <c r="AJ14" s="1119" t="str">
        <f>IF(E14="S", DATEDIF(_xlfn.MAXIFS($F$11:F14, $D$11:D14, D14, $AB$11:AB14, "&gt;0"), F14, "d"), "")</f>
        <v/>
      </c>
      <c r="AK14" s="1118">
        <f>IF(O14="H",DE_BKUS[[#This Row],[DATE]],"")</f>
        <v>45642</v>
      </c>
      <c r="AL14" s="1120">
        <f t="shared" ca="1" si="12"/>
        <v>42</v>
      </c>
      <c r="AM14" s="1121">
        <f t="shared" ca="1" si="13"/>
        <v>9984.15</v>
      </c>
      <c r="AN14" s="1122">
        <v>0</v>
      </c>
      <c r="AO14" s="1122">
        <f ca="1">IFERROR(DE_BKUS[[#This Row],[MKT]]*DE_BKUS[[#This Row],[HOLDINGS]],0)</f>
        <v>0</v>
      </c>
      <c r="AP14" s="1123" t="str">
        <f t="shared" si="26"/>
        <v xml:space="preserve"> </v>
      </c>
      <c r="AQ14" s="159" t="s">
        <v>0</v>
      </c>
      <c r="AR14" s="159"/>
      <c r="AT14" s="1082" t="s">
        <v>772</v>
      </c>
      <c r="AU14" s="1082" t="s">
        <v>28</v>
      </c>
      <c r="AV14" s="1082" t="s">
        <v>0</v>
      </c>
      <c r="AW14" s="1087"/>
      <c r="AX14" s="1073"/>
      <c r="AY14" s="1074"/>
      <c r="AZ14" s="1074"/>
      <c r="BA14" s="1081"/>
      <c r="BB14" s="1081"/>
      <c r="BC14" s="1073"/>
      <c r="BE14" s="185"/>
    </row>
    <row r="15" spans="1:57" s="179" customFormat="1" ht="15.75" customHeight="1">
      <c r="A15" s="177"/>
      <c r="B15" s="624">
        <v>104</v>
      </c>
      <c r="C15" s="617" t="str">
        <f t="shared" si="27"/>
        <v>BK-US</v>
      </c>
      <c r="D15" s="183" t="s">
        <v>255</v>
      </c>
      <c r="E15" s="179" t="s">
        <v>23</v>
      </c>
      <c r="F15" s="180">
        <v>45645</v>
      </c>
      <c r="G15" s="1096">
        <f t="shared" si="15"/>
        <v>975.1389999999999</v>
      </c>
      <c r="H15" s="182">
        <v>10</v>
      </c>
      <c r="I15" s="183"/>
      <c r="J15" s="184">
        <v>-9751.39</v>
      </c>
      <c r="K15" s="1095">
        <f t="shared" si="28"/>
        <v>176.75</v>
      </c>
      <c r="L15" s="1100" t="str" cm="1">
        <f t="array" ref="L15">IFERROR(INDEX(M_TRX_TYPE[#Data], U15, MATCH($C$6,M_TRX_TYPE[#Headers], 0)), "")</f>
        <v>1119 Bank Transfer Account</v>
      </c>
      <c r="M15" s="1102" t="str">
        <f t="shared" si="16"/>
        <v>COST</v>
      </c>
      <c r="N15" s="1103">
        <f>IF((O15="H"),(MAX($N$9:N14)+1),0)</f>
        <v>4</v>
      </c>
      <c r="O15" s="1204" t="str">
        <f t="shared" si="2"/>
        <v>H</v>
      </c>
      <c r="P15" s="1105" cm="1">
        <f t="array" ref="P15">MAX(IF($D$11:$D$34=D15, $S$11:$S$34))</f>
        <v>1</v>
      </c>
      <c r="Q15" s="1106">
        <f>IF((E15="B"),(MAX($Q$7:Q14)+1),0)</f>
        <v>0</v>
      </c>
      <c r="R15" s="1106">
        <f>IF((AG15&lt;0),(MAX($R$9:$R14)+1),0)</f>
        <v>0</v>
      </c>
      <c r="S15" s="1086">
        <f>IF((M15=""),0,COUNTIF($M$9:M15,M15))</f>
        <v>1</v>
      </c>
      <c r="T15" s="1086">
        <f>IFERROR(MATCH(M15,M_SYMBOL[SYMBOL],0),"")</f>
        <v>74</v>
      </c>
      <c r="U15" s="1070">
        <f>IFERROR(MATCH(E15,M_TRX_TYPE[TYPE],0),"")</f>
        <v>13</v>
      </c>
      <c r="V15" s="1107">
        <f t="shared" si="17"/>
        <v>10</v>
      </c>
      <c r="W15" s="1095">
        <f t="shared" si="18"/>
        <v>-9751.39</v>
      </c>
      <c r="X15" s="1108">
        <f t="shared" si="19"/>
        <v>0</v>
      </c>
      <c r="Y15" s="1109">
        <f>IF(S15=1,0,IF(M15="",0,IF(S15&gt;1,(SUMIF($M$9:Z14,M15,$Z$9:Z14))+(SUMIF($M$9:Z14,M15,$AA$9:AA14)),0)))</f>
        <v>0</v>
      </c>
      <c r="Z15" s="1110">
        <f t="shared" si="20"/>
        <v>10</v>
      </c>
      <c r="AA15" s="1111">
        <f t="shared" si="21"/>
        <v>0</v>
      </c>
      <c r="AB15" s="1112">
        <f>DE_BKUS[[#This Row],[PREVIOUS
UNITS]]+DE_BKUS[[#This Row],[SHARES
BOUGHT]]+DE_BKUS[[#This Row],[SHARES 
SOLD]]</f>
        <v>10</v>
      </c>
      <c r="AC15" s="1113">
        <f>IF(S15=1,0,IF(M15="",0,IF(S15&gt;1,SUMIF($M$9:AE14,M15,$AE$9:AE14)+SUMIF($M$9:AE14,M15,$AD$9:AD14),0)))</f>
        <v>0</v>
      </c>
      <c r="AD15" s="1114">
        <f t="shared" si="22"/>
        <v>9751.39</v>
      </c>
      <c r="AE15" s="1115">
        <f t="shared" si="23"/>
        <v>0</v>
      </c>
      <c r="AF15" s="1116">
        <f t="shared" si="24"/>
        <v>9751.39</v>
      </c>
      <c r="AG15" s="1117">
        <f t="shared" si="25"/>
        <v>0</v>
      </c>
      <c r="AH15" s="1115">
        <f>DE_BKUS[[#This Row],[PROCEEDS]]-DE_BKUS[[#This Row],[SOLD]]</f>
        <v>0</v>
      </c>
      <c r="AI15" s="1118">
        <f t="shared" si="29"/>
        <v>45645</v>
      </c>
      <c r="AJ15" s="1119" t="str">
        <f>IF(E15="S", DATEDIF(_xlfn.MAXIFS($F$11:F15, $D$11:D15, D15, $AB$11:AB15, "&gt;0"), F15, "d"), "")</f>
        <v/>
      </c>
      <c r="AK15" s="1118">
        <f>IF(O15="H",DE_BKUS[[#This Row],[DATE]],"")</f>
        <v>45645</v>
      </c>
      <c r="AL15" s="1120">
        <f t="shared" ca="1" si="12"/>
        <v>10</v>
      </c>
      <c r="AM15" s="1121">
        <f t="shared" ca="1" si="13"/>
        <v>9751.39</v>
      </c>
      <c r="AN15" s="1122">
        <v>0</v>
      </c>
      <c r="AO15" s="1122">
        <f ca="1">IFERROR(DE_BKUS[[#This Row],[MKT]]*DE_BKUS[[#This Row],[HOLDINGS]],0)</f>
        <v>0</v>
      </c>
      <c r="AP15" s="1123" t="str">
        <f t="shared" si="26"/>
        <v xml:space="preserve"> </v>
      </c>
      <c r="AQ15" s="159" t="s">
        <v>0</v>
      </c>
      <c r="AR15" s="159"/>
      <c r="AT15" s="1086" t="s">
        <v>3</v>
      </c>
      <c r="AU15" s="1070">
        <f>IFERROR(MATCH(AT15,M_TRX_TYPE[TYPE],0),"")</f>
        <v>3</v>
      </c>
      <c r="AV15" s="1071" t="str" cm="1">
        <f t="array" ref="AV15">IFERROR(INDEX(M_TRX_TYPE[#Data], AU15, MATCH($C$6, M_TRX_TYPE[#Headers], 0)), "")</f>
        <v>1132 Broker US Securities</v>
      </c>
      <c r="AW15" s="1087">
        <f t="shared" ref="AW15:AW20" ca="1" si="30">SUMIF($E$11:$X$48,AT15,$X$11:$X$48)*-1</f>
        <v>-74940.06</v>
      </c>
      <c r="AX15" s="1073">
        <f ca="1">SUMIF($E$11:$X$48,AT15,$X$11:$X$48)</f>
        <v>74940.06</v>
      </c>
      <c r="AY15" s="1074"/>
      <c r="AZ15" s="1074" t="s">
        <v>0</v>
      </c>
      <c r="BA15" s="1081" t="s">
        <v>774</v>
      </c>
      <c r="BB15" s="1081">
        <f t="shared" ref="BB15:BB28" si="31">IF($E$6="US$",(1.4396+$BB$31)/2,1)</f>
        <v>1</v>
      </c>
      <c r="BC15" s="1073">
        <f ca="1">FR_U1[[#This Row],[AMOUNT]]*BB15</f>
        <v>-74940.06</v>
      </c>
    </row>
    <row r="16" spans="1:57" s="179" customFormat="1" ht="15.75" customHeight="1">
      <c r="A16" s="177"/>
      <c r="B16" s="624">
        <v>105</v>
      </c>
      <c r="C16" s="617" t="str">
        <f t="shared" si="27"/>
        <v>BK-US</v>
      </c>
      <c r="D16" s="183" t="s">
        <v>773</v>
      </c>
      <c r="E16" s="179" t="s">
        <v>23</v>
      </c>
      <c r="F16" s="180">
        <v>45649</v>
      </c>
      <c r="G16" s="1096">
        <f t="shared" si="15"/>
        <v>112.9982</v>
      </c>
      <c r="H16" s="182">
        <v>100</v>
      </c>
      <c r="I16" s="183"/>
      <c r="J16" s="184">
        <v>-11299.82</v>
      </c>
      <c r="K16" s="1095">
        <f t="shared" si="28"/>
        <v>176.75</v>
      </c>
      <c r="L16" s="1100" t="str" cm="1">
        <f t="array" ref="L16">IFERROR(INDEX(M_TRX_TYPE[#Data], U16, MATCH($C$6,M_TRX_TYPE[#Headers], 0)), "")</f>
        <v>1119 Bank Transfer Account</v>
      </c>
      <c r="M16" s="1102" t="str">
        <f t="shared" si="16"/>
        <v>CROX</v>
      </c>
      <c r="N16" s="1103">
        <f>IF((O16="H"),(MAX($N$9:N15)+1),0)</f>
        <v>0</v>
      </c>
      <c r="O16" s="1204" t="str">
        <f t="shared" si="2"/>
        <v/>
      </c>
      <c r="P16" s="1105" cm="1">
        <f t="array" ref="P16">MAX(IF($D$11:$D$34=D16, $S$11:$S$34))</f>
        <v>2</v>
      </c>
      <c r="Q16" s="1106">
        <f>IF((E16="B"),(MAX($Q$7:Q15)+1),0)</f>
        <v>0</v>
      </c>
      <c r="R16" s="1106">
        <f>IF((AG16&lt;0),(MAX($R$9:$R15)+1),0)</f>
        <v>0</v>
      </c>
      <c r="S16" s="1086">
        <f>IF((M16=""),0,COUNTIF($M$9:M16,M16))</f>
        <v>1</v>
      </c>
      <c r="T16" s="1086">
        <f>IFERROR(MATCH(M16,M_SYMBOL[SYMBOL],0),"")</f>
        <v>76</v>
      </c>
      <c r="U16" s="1070">
        <f>IFERROR(MATCH(E16,M_TRX_TYPE[TYPE],0),"")</f>
        <v>13</v>
      </c>
      <c r="V16" s="1107">
        <f t="shared" si="17"/>
        <v>100</v>
      </c>
      <c r="W16" s="1095">
        <f t="shared" si="18"/>
        <v>-11299.82</v>
      </c>
      <c r="X16" s="1108">
        <f t="shared" si="19"/>
        <v>0</v>
      </c>
      <c r="Y16" s="1109">
        <f>IF(S16=1,0,IF(M16="",0,IF(S16&gt;1,(SUMIF($M$9:Z15,M16,$Z$9:Z15))+(SUMIF($M$9:Z15,M16,$AA$9:AA15)),0)))</f>
        <v>0</v>
      </c>
      <c r="Z16" s="1110">
        <f t="shared" si="20"/>
        <v>100</v>
      </c>
      <c r="AA16" s="1111">
        <f t="shared" si="21"/>
        <v>0</v>
      </c>
      <c r="AB16" s="1112">
        <f>DE_BKUS[[#This Row],[PREVIOUS
UNITS]]+DE_BKUS[[#This Row],[SHARES
BOUGHT]]+DE_BKUS[[#This Row],[SHARES 
SOLD]]</f>
        <v>100</v>
      </c>
      <c r="AC16" s="1113">
        <f>IF(S16=1,0,IF(M16="",0,IF(S16&gt;1,SUMIF($M$9:AE15,M16,$AE$9:AE15)+SUMIF($M$9:AE15,M16,$AD$9:AD15),0)))</f>
        <v>0</v>
      </c>
      <c r="AD16" s="1114">
        <f t="shared" si="22"/>
        <v>11299.82</v>
      </c>
      <c r="AE16" s="1115">
        <f t="shared" si="23"/>
        <v>0</v>
      </c>
      <c r="AF16" s="1116">
        <f t="shared" si="24"/>
        <v>11299.82</v>
      </c>
      <c r="AG16" s="1117">
        <f t="shared" si="25"/>
        <v>0</v>
      </c>
      <c r="AH16" s="1115">
        <f>DE_BKUS[[#This Row],[PROCEEDS]]-DE_BKUS[[#This Row],[SOLD]]</f>
        <v>0</v>
      </c>
      <c r="AI16" s="1118">
        <f t="shared" si="29"/>
        <v>45649</v>
      </c>
      <c r="AJ16" s="1119" t="str">
        <f>IF(E16="S", DATEDIF(_xlfn.MAXIFS($F$11:F16, $D$11:D16, D16, $AB$11:AB16, "&gt;0"), F16, "d"), "")</f>
        <v/>
      </c>
      <c r="AK16" s="1118" t="str">
        <f>IF(O16="H",DE_BKUS[[#This Row],[DATE]],"")</f>
        <v/>
      </c>
      <c r="AL16" s="1120" t="str">
        <f t="shared" si="12"/>
        <v/>
      </c>
      <c r="AM16" s="1121">
        <f t="shared" si="13"/>
        <v>0</v>
      </c>
      <c r="AN16" s="1122">
        <v>0</v>
      </c>
      <c r="AO16" s="1122">
        <f>IFERROR(DE_BKUS[[#This Row],[MKT]]*DE_BKUS[[#This Row],[HOLDINGS]],0)</f>
        <v>0</v>
      </c>
      <c r="AP16" s="1123" t="str">
        <f t="shared" si="26"/>
        <v xml:space="preserve"> </v>
      </c>
      <c r="AQ16" s="159" t="s">
        <v>0</v>
      </c>
      <c r="AR16" s="159"/>
      <c r="AT16" s="1086" t="s">
        <v>4</v>
      </c>
      <c r="AU16" s="1070">
        <f>IFERROR(MATCH(AT16,M_TRX_TYPE[TYPE],0),"")</f>
        <v>4</v>
      </c>
      <c r="AV16" s="1071" t="str" cm="1">
        <f t="array" ref="AV16">IFERROR(INDEX(M_TRX_TYPE[#Data], AU16, MATCH($C$6, M_TRX_TYPE[#Headers], 0)), "")</f>
        <v>4170 US Sale of Securities</v>
      </c>
      <c r="AW16" s="1087">
        <f t="shared" ca="1" si="30"/>
        <v>52510.859999999993</v>
      </c>
      <c r="AX16" s="1073">
        <v>0</v>
      </c>
      <c r="AY16" s="1074"/>
      <c r="AZ16" s="1074" t="s">
        <v>0</v>
      </c>
      <c r="BA16" s="1081" t="s">
        <v>774</v>
      </c>
      <c r="BB16" s="1081">
        <f t="shared" si="31"/>
        <v>1</v>
      </c>
      <c r="BC16" s="1073">
        <f ca="1">FR_U1[[#This Row],[AMOUNT]]*BB16</f>
        <v>52510.859999999993</v>
      </c>
    </row>
    <row r="17" spans="1:57" s="179" customFormat="1" ht="15.75" customHeight="1">
      <c r="A17" s="177"/>
      <c r="B17" s="624">
        <v>106</v>
      </c>
      <c r="C17" s="617" t="str">
        <f t="shared" si="27"/>
        <v>BK-US</v>
      </c>
      <c r="D17" s="183" t="s">
        <v>775</v>
      </c>
      <c r="E17" s="179" t="s">
        <v>23</v>
      </c>
      <c r="F17" s="180">
        <v>45650</v>
      </c>
      <c r="G17" s="1096">
        <f t="shared" si="15"/>
        <v>363.52678571428572</v>
      </c>
      <c r="H17" s="182">
        <v>28</v>
      </c>
      <c r="I17" s="183"/>
      <c r="J17" s="184">
        <v>-10178.75</v>
      </c>
      <c r="K17" s="1095">
        <f t="shared" si="28"/>
        <v>176.75</v>
      </c>
      <c r="L17" s="1100" t="str" cm="1">
        <f t="array" ref="L17">IFERROR(INDEX(M_TRX_TYPE[#Data], U17, MATCH($C$6,M_TRX_TYPE[#Headers], 0)), "")</f>
        <v>1119 Bank Transfer Account</v>
      </c>
      <c r="M17" s="1102" t="str">
        <f t="shared" si="16"/>
        <v>CRWD</v>
      </c>
      <c r="N17" s="1103">
        <f>IF((O17="H"),(MAX($N$9:N16)+1),0)</f>
        <v>0</v>
      </c>
      <c r="O17" s="1204" t="str">
        <f t="shared" si="2"/>
        <v/>
      </c>
      <c r="P17" s="1105" cm="1">
        <f t="array" ref="P17">MAX(IF($D$11:$D$34=D17, $S$11:$S$34))</f>
        <v>2</v>
      </c>
      <c r="Q17" s="1106">
        <f>IF((E17="B"),(MAX($Q$7:Q16)+1),0)</f>
        <v>0</v>
      </c>
      <c r="R17" s="1106">
        <f>IF((AG17&lt;0),(MAX($R$9:$R16)+1),0)</f>
        <v>0</v>
      </c>
      <c r="S17" s="1086">
        <f>IF((M17=""),0,COUNTIF($M$9:M17,M17))</f>
        <v>1</v>
      </c>
      <c r="T17" s="1086">
        <f>IFERROR(MATCH(M17,M_SYMBOL[SYMBOL],0),"")</f>
        <v>77</v>
      </c>
      <c r="U17" s="1070">
        <f>IFERROR(MATCH(E17,M_TRX_TYPE[TYPE],0),"")</f>
        <v>13</v>
      </c>
      <c r="V17" s="1107">
        <f t="shared" si="17"/>
        <v>28</v>
      </c>
      <c r="W17" s="1095">
        <f t="shared" si="18"/>
        <v>-10178.75</v>
      </c>
      <c r="X17" s="1108">
        <f t="shared" si="19"/>
        <v>0</v>
      </c>
      <c r="Y17" s="1109">
        <f>IF(S17=1,0,IF(M17="",0,IF(S17&gt;1,(SUMIF($M$9:Z16,M17,$Z$9:Z16))+(SUMIF($M$9:Z16,M17,$AA$9:AA16)),0)))</f>
        <v>0</v>
      </c>
      <c r="Z17" s="1110">
        <f t="shared" si="20"/>
        <v>28</v>
      </c>
      <c r="AA17" s="1111">
        <f t="shared" si="21"/>
        <v>0</v>
      </c>
      <c r="AB17" s="1112">
        <f>DE_BKUS[[#This Row],[PREVIOUS
UNITS]]+DE_BKUS[[#This Row],[SHARES
BOUGHT]]+DE_BKUS[[#This Row],[SHARES 
SOLD]]</f>
        <v>28</v>
      </c>
      <c r="AC17" s="1113">
        <f>IF(S17=1,0,IF(M17="",0,IF(S17&gt;1,SUMIF($M$9:AE16,M17,$AE$9:AE16)+SUMIF($M$9:AE16,M17,$AD$9:AD16),0)))</f>
        <v>0</v>
      </c>
      <c r="AD17" s="1114">
        <f t="shared" si="22"/>
        <v>10178.75</v>
      </c>
      <c r="AE17" s="1115">
        <f t="shared" si="23"/>
        <v>0</v>
      </c>
      <c r="AF17" s="1116">
        <f t="shared" si="24"/>
        <v>10178.75</v>
      </c>
      <c r="AG17" s="1117">
        <f t="shared" si="25"/>
        <v>0</v>
      </c>
      <c r="AH17" s="1115">
        <f>DE_BKUS[[#This Row],[PROCEEDS]]-DE_BKUS[[#This Row],[SOLD]]</f>
        <v>0</v>
      </c>
      <c r="AI17" s="1118">
        <f t="shared" si="29"/>
        <v>45650</v>
      </c>
      <c r="AJ17" s="1119" t="str">
        <f>IF(E17="S", DATEDIF(_xlfn.MAXIFS($F$11:F17, $D$11:D17, D17, $AB$11:AB17, "&gt;0"), F17, "d"), "")</f>
        <v/>
      </c>
      <c r="AK17" s="1118" t="str">
        <f>IF(O17="H",DE_BKUS[[#This Row],[DATE]],"")</f>
        <v/>
      </c>
      <c r="AL17" s="1120" t="str">
        <f t="shared" si="12"/>
        <v/>
      </c>
      <c r="AM17" s="1121">
        <f t="shared" si="13"/>
        <v>0</v>
      </c>
      <c r="AN17" s="1122">
        <v>0</v>
      </c>
      <c r="AO17" s="1122">
        <f>IFERROR(DE_BKUS[[#This Row],[MKT]]*DE_BKUS[[#This Row],[HOLDINGS]],0)</f>
        <v>0</v>
      </c>
      <c r="AP17" s="1123" t="str">
        <f t="shared" si="26"/>
        <v xml:space="preserve"> </v>
      </c>
      <c r="AQ17" s="159" t="s">
        <v>0</v>
      </c>
      <c r="AR17" s="159"/>
      <c r="AT17" s="1086" t="s">
        <v>26</v>
      </c>
      <c r="AU17" s="1070">
        <f>IFERROR(MATCH(AT17,M_TRX_TYPE[TYPE],0),"")</f>
        <v>5</v>
      </c>
      <c r="AV17" s="1071" t="str" cm="1">
        <f t="array" ref="AV17">IFERROR(INDEX(M_TRX_TYPE[#Data], AU17, MATCH($C$6, M_TRX_TYPE[#Headers], 0)), "")</f>
        <v>1132 Broker US Securities</v>
      </c>
      <c r="AW17" s="1087">
        <f t="shared" ca="1" si="30"/>
        <v>54736.17</v>
      </c>
      <c r="AX17" s="1073">
        <f ca="1">SUMIF($E$11:$X$48,AT17,$X$11:$X$48)</f>
        <v>-54736.17</v>
      </c>
      <c r="AY17" s="1074"/>
      <c r="AZ17" s="1074" t="s">
        <v>0</v>
      </c>
      <c r="BA17" s="1081" t="s">
        <v>774</v>
      </c>
      <c r="BB17" s="1081">
        <f t="shared" si="31"/>
        <v>1</v>
      </c>
      <c r="BC17" s="1073">
        <f ca="1">FR_U1[[#This Row],[AMOUNT]]*BB17</f>
        <v>54736.17</v>
      </c>
    </row>
    <row r="18" spans="1:57" s="179" customFormat="1" ht="15.75" customHeight="1">
      <c r="A18" s="177"/>
      <c r="B18" s="624">
        <v>107</v>
      </c>
      <c r="C18" s="617" t="str">
        <f t="shared" si="27"/>
        <v>BK-US</v>
      </c>
      <c r="D18" s="183" t="s">
        <v>776</v>
      </c>
      <c r="E18" s="179" t="s">
        <v>23</v>
      </c>
      <c r="F18" s="180">
        <v>45291</v>
      </c>
      <c r="G18" s="1096">
        <f t="shared" si="15"/>
        <v>474.76549999999997</v>
      </c>
      <c r="H18" s="182">
        <v>20</v>
      </c>
      <c r="I18" s="183"/>
      <c r="J18" s="184">
        <v>-9495.31</v>
      </c>
      <c r="K18" s="1095">
        <f t="shared" si="28"/>
        <v>176.75</v>
      </c>
      <c r="L18" s="1100" t="str" cm="1">
        <f t="array" ref="L18">IFERROR(INDEX(M_TRX_TYPE[#Data], U18, MATCH($C$6,M_TRX_TYPE[#Headers], 0)), "")</f>
        <v>1119 Bank Transfer Account</v>
      </c>
      <c r="M18" s="1102" t="str">
        <f t="shared" si="16"/>
        <v>META</v>
      </c>
      <c r="N18" s="1103">
        <f>IF((O18="H"),(MAX($N$9:N17)+1),0)</f>
        <v>0</v>
      </c>
      <c r="O18" s="1204" t="str">
        <f t="shared" si="2"/>
        <v/>
      </c>
      <c r="P18" s="1105" cm="1">
        <f t="array" ref="P18">MAX(IF($D$11:$D$34=D18, $S$11:$S$34))</f>
        <v>2</v>
      </c>
      <c r="Q18" s="1106">
        <f>IF((E18="B"),(MAX($Q$7:Q17)+1),0)</f>
        <v>0</v>
      </c>
      <c r="R18" s="1106">
        <f>IF((AG18&lt;0),(MAX($R$9:$R17)+1),0)</f>
        <v>0</v>
      </c>
      <c r="S18" s="1086">
        <f>IF((M18=""),0,COUNTIF($M$9:M18,M18))</f>
        <v>1</v>
      </c>
      <c r="T18" s="1086">
        <f>IFERROR(MATCH(M18,M_SYMBOL[SYMBOL],0),"")</f>
        <v>150</v>
      </c>
      <c r="U18" s="1070">
        <f>IFERROR(MATCH(E18,M_TRX_TYPE[TYPE],0),"")</f>
        <v>13</v>
      </c>
      <c r="V18" s="1107">
        <f t="shared" si="17"/>
        <v>20</v>
      </c>
      <c r="W18" s="1095">
        <f t="shared" si="18"/>
        <v>-9495.31</v>
      </c>
      <c r="X18" s="1108">
        <f t="shared" si="19"/>
        <v>0</v>
      </c>
      <c r="Y18" s="1109">
        <f>IF(S18=1,0,IF(M18="",0,IF(S18&gt;1,(SUMIF($M$9:Z17,M18,$Z$9:Z17))+(SUMIF($M$9:Z17,M18,$AA$9:AA17)),0)))</f>
        <v>0</v>
      </c>
      <c r="Z18" s="1110">
        <f t="shared" si="20"/>
        <v>20</v>
      </c>
      <c r="AA18" s="1111">
        <f t="shared" si="21"/>
        <v>0</v>
      </c>
      <c r="AB18" s="1112">
        <f>DE_BKUS[[#This Row],[PREVIOUS
UNITS]]+DE_BKUS[[#This Row],[SHARES
BOUGHT]]+DE_BKUS[[#This Row],[SHARES 
SOLD]]</f>
        <v>20</v>
      </c>
      <c r="AC18" s="1113">
        <f>IF(S18=1,0,IF(M18="",0,IF(S18&gt;1,SUMIF($M$9:AE17,M18,$AE$9:AE17)+SUMIF($M$9:AE17,M18,$AD$9:AD17),0)))</f>
        <v>0</v>
      </c>
      <c r="AD18" s="1114">
        <f t="shared" si="22"/>
        <v>9495.31</v>
      </c>
      <c r="AE18" s="1115">
        <f t="shared" si="23"/>
        <v>0</v>
      </c>
      <c r="AF18" s="1116">
        <f t="shared" si="24"/>
        <v>9495.31</v>
      </c>
      <c r="AG18" s="1117">
        <f t="shared" si="25"/>
        <v>0</v>
      </c>
      <c r="AH18" s="1115">
        <f>DE_BKUS[[#This Row],[PROCEEDS]]-DE_BKUS[[#This Row],[SOLD]]</f>
        <v>0</v>
      </c>
      <c r="AI18" s="1118">
        <f t="shared" si="29"/>
        <v>45291</v>
      </c>
      <c r="AJ18" s="1119" t="str">
        <f>IF(E18="S", DATEDIF(_xlfn.MAXIFS($F$11:F18, $D$11:D18, D18, $AB$11:AB18, "&gt;0"), F18, "d"), "")</f>
        <v/>
      </c>
      <c r="AK18" s="1118" t="str">
        <f>IF(O18="H",DE_BKUS[[#This Row],[DATE]],"")</f>
        <v/>
      </c>
      <c r="AL18" s="1120" t="str">
        <f t="shared" si="12"/>
        <v/>
      </c>
      <c r="AM18" s="1121">
        <f t="shared" si="13"/>
        <v>0</v>
      </c>
      <c r="AN18" s="1122">
        <v>0</v>
      </c>
      <c r="AO18" s="1122">
        <f>IFERROR(DE_BKUS[[#This Row],[MKT]]*DE_BKUS[[#This Row],[HOLDINGS]],0)</f>
        <v>0</v>
      </c>
      <c r="AP18" s="1123" t="str">
        <f t="shared" si="26"/>
        <v xml:space="preserve"> </v>
      </c>
      <c r="AQ18" s="159" t="s">
        <v>0</v>
      </c>
      <c r="AR18" s="159"/>
      <c r="AT18" s="1086" t="s">
        <v>230</v>
      </c>
      <c r="AU18" s="1070">
        <f>IFERROR(MATCH(AT18,M_TRX_TYPE[TYPE],0),"")</f>
        <v>1</v>
      </c>
      <c r="AV18" s="1071" t="str" cm="1">
        <f t="array" ref="AV18">IFERROR(INDEX(M_TRX_TYPE[#Data], AU18, MATCH($C$6, M_TRX_TYPE[#Headers], 0)), "")</f>
        <v>1119 Bank Transfer Account</v>
      </c>
      <c r="AW18" s="1087">
        <f t="shared" ca="1" si="30"/>
        <v>-94056.290000000008</v>
      </c>
      <c r="AX18" s="1073">
        <v>0</v>
      </c>
      <c r="AY18" s="1074"/>
      <c r="AZ18" s="1074" t="s">
        <v>0</v>
      </c>
      <c r="BA18" s="1081" t="s">
        <v>774</v>
      </c>
      <c r="BB18" s="1081">
        <f t="shared" si="31"/>
        <v>1</v>
      </c>
      <c r="BC18" s="1073">
        <f ca="1">FR_U1[[#This Row],[AMOUNT]]*BB18</f>
        <v>-94056.290000000008</v>
      </c>
    </row>
    <row r="19" spans="1:57" s="179" customFormat="1" ht="15.75" customHeight="1">
      <c r="A19" s="177"/>
      <c r="B19" s="624">
        <v>108</v>
      </c>
      <c r="C19" s="617" t="str">
        <f t="shared" si="27"/>
        <v>BK-US</v>
      </c>
      <c r="D19" s="183" t="s">
        <v>777</v>
      </c>
      <c r="E19" s="179" t="s">
        <v>23</v>
      </c>
      <c r="F19" s="180">
        <v>45623</v>
      </c>
      <c r="G19" s="1096">
        <f t="shared" si="15"/>
        <v>12.65358</v>
      </c>
      <c r="H19" s="182">
        <v>1000</v>
      </c>
      <c r="I19" s="183"/>
      <c r="J19" s="184">
        <v>-12653.58</v>
      </c>
      <c r="K19" s="1095">
        <f t="shared" si="28"/>
        <v>176.75</v>
      </c>
      <c r="L19" s="1100" t="str" cm="1">
        <f t="array" ref="L19">IFERROR(INDEX(M_TRX_TYPE[#Data], U19, MATCH($C$6,M_TRX_TYPE[#Headers], 0)), "")</f>
        <v>1119 Bank Transfer Account</v>
      </c>
      <c r="M19" s="1102" t="str">
        <f t="shared" si="16"/>
        <v>IREN</v>
      </c>
      <c r="N19" s="1103">
        <f>IF((O19="H"),(MAX($N$9:N18)+1),0)</f>
        <v>0</v>
      </c>
      <c r="O19" s="1204" t="str">
        <f t="shared" si="2"/>
        <v/>
      </c>
      <c r="P19" s="1105" cm="1">
        <f t="array" ref="P19">MAX(IF($D$11:$D$34=D19, $S$11:$S$34))</f>
        <v>2</v>
      </c>
      <c r="Q19" s="1106">
        <f>IF((E19="B"),(MAX($Q$7:Q18)+1),0)</f>
        <v>0</v>
      </c>
      <c r="R19" s="1106">
        <f>IF((AG19&lt;0),(MAX($R$9:$R18)+1),0)</f>
        <v>0</v>
      </c>
      <c r="S19" s="1086">
        <f>IF((M19=""),0,COUNTIF($M$9:M19,M19))</f>
        <v>1</v>
      </c>
      <c r="T19" s="1086">
        <f>IFERROR(MATCH(M19,M_SYMBOL[SYMBOL],0),"")</f>
        <v>119</v>
      </c>
      <c r="U19" s="1070">
        <f>IFERROR(MATCH(E19,M_TRX_TYPE[TYPE],0),"")</f>
        <v>13</v>
      </c>
      <c r="V19" s="1107">
        <f t="shared" si="17"/>
        <v>1000</v>
      </c>
      <c r="W19" s="1095">
        <f t="shared" si="18"/>
        <v>-12653.58</v>
      </c>
      <c r="X19" s="1108">
        <f t="shared" si="19"/>
        <v>0</v>
      </c>
      <c r="Y19" s="1109">
        <f>IF(S19=1,0,IF(M19="",0,IF(S19&gt;1,(SUMIF($M$9:Z18,M19,$Z$9:Z18))+(SUMIF($M$9:Z18,M19,$AA$9:AA18)),0)))</f>
        <v>0</v>
      </c>
      <c r="Z19" s="1110">
        <f t="shared" si="20"/>
        <v>1000</v>
      </c>
      <c r="AA19" s="1111">
        <f t="shared" si="21"/>
        <v>0</v>
      </c>
      <c r="AB19" s="1112">
        <f>DE_BKUS[[#This Row],[PREVIOUS
UNITS]]+DE_BKUS[[#This Row],[SHARES
BOUGHT]]+DE_BKUS[[#This Row],[SHARES 
SOLD]]</f>
        <v>1000</v>
      </c>
      <c r="AC19" s="1113">
        <f>IF(S19=1,0,IF(M19="",0,IF(S19&gt;1,SUMIF($M$9:AE18,M19,$AE$9:AE18)+SUMIF($M$9:AE18,M19,$AD$9:AD18),0)))</f>
        <v>0</v>
      </c>
      <c r="AD19" s="1114">
        <f t="shared" si="22"/>
        <v>12653.58</v>
      </c>
      <c r="AE19" s="1115">
        <f t="shared" si="23"/>
        <v>0</v>
      </c>
      <c r="AF19" s="1116">
        <f t="shared" si="24"/>
        <v>12653.58</v>
      </c>
      <c r="AG19" s="1117">
        <f t="shared" si="25"/>
        <v>0</v>
      </c>
      <c r="AH19" s="1115">
        <f>DE_BKUS[[#This Row],[PROCEEDS]]-DE_BKUS[[#This Row],[SOLD]]</f>
        <v>0</v>
      </c>
      <c r="AI19" s="1118">
        <f t="shared" si="29"/>
        <v>45623</v>
      </c>
      <c r="AJ19" s="1119" t="str">
        <f>IF(E19="S", DATEDIF(_xlfn.MAXIFS($F$11:F19, $D$11:D19, D19, $AB$11:AB19, "&gt;0"), F19, "d"), "")</f>
        <v/>
      </c>
      <c r="AK19" s="1118" t="str">
        <f>IF(O19="H",DE_BKUS[[#This Row],[DATE]],"")</f>
        <v/>
      </c>
      <c r="AL19" s="1120" t="str">
        <f t="shared" si="12"/>
        <v/>
      </c>
      <c r="AM19" s="1121">
        <f t="shared" si="13"/>
        <v>0</v>
      </c>
      <c r="AN19" s="1122">
        <v>0</v>
      </c>
      <c r="AO19" s="1122">
        <f>IFERROR(DE_BKUS[[#This Row],[MKT]]*DE_BKUS[[#This Row],[HOLDINGS]],0)</f>
        <v>0</v>
      </c>
      <c r="AP19" s="1123" t="str">
        <f t="shared" si="26"/>
        <v xml:space="preserve"> </v>
      </c>
      <c r="AQ19" s="159" t="s">
        <v>0</v>
      </c>
      <c r="AR19" s="159"/>
      <c r="AT19" s="1086" t="s">
        <v>34</v>
      </c>
      <c r="AU19" s="1070">
        <f>IFERROR(MATCH(AT19,M_TRX_TYPE[TYPE],0),"")</f>
        <v>7</v>
      </c>
      <c r="AV19" s="1071" t="str" cm="1">
        <f t="array" ref="AV19">IFERROR(INDEX(M_TRX_TYPE[#Data], AU19, MATCH($C$6, M_TRX_TYPE[#Headers], 0)), "")</f>
        <v>4120 US Dividends</v>
      </c>
      <c r="AW19" s="1087">
        <f t="shared" ca="1" si="30"/>
        <v>0</v>
      </c>
      <c r="AX19" s="1073">
        <v>0</v>
      </c>
      <c r="AY19" s="1074"/>
      <c r="AZ19" s="1074" t="s">
        <v>0</v>
      </c>
      <c r="BA19" s="1081" t="s">
        <v>774</v>
      </c>
      <c r="BB19" s="1081">
        <f t="shared" si="31"/>
        <v>1</v>
      </c>
      <c r="BC19" s="1073">
        <f ca="1">FR_U1[[#This Row],[AMOUNT]]*BB19</f>
        <v>0</v>
      </c>
    </row>
    <row r="20" spans="1:57" s="179" customFormat="1" ht="15.75" customHeight="1">
      <c r="A20" s="177"/>
      <c r="B20" s="624">
        <v>109</v>
      </c>
      <c r="C20" s="617" t="str">
        <f t="shared" si="27"/>
        <v>BK-US</v>
      </c>
      <c r="D20" s="183" t="s">
        <v>778</v>
      </c>
      <c r="E20" s="179" t="s">
        <v>23</v>
      </c>
      <c r="F20" s="180">
        <v>45497</v>
      </c>
      <c r="G20" s="1096">
        <f t="shared" si="15"/>
        <v>444.34839999999997</v>
      </c>
      <c r="H20" s="182">
        <v>25</v>
      </c>
      <c r="I20" s="183"/>
      <c r="J20" s="184">
        <v>-11108.71</v>
      </c>
      <c r="K20" s="1095">
        <f t="shared" si="28"/>
        <v>176.75</v>
      </c>
      <c r="L20" s="1100" t="str" cm="1">
        <f t="array" ref="L20">IFERROR(INDEX(M_TRX_TYPE[#Data], U20, MATCH($C$6,M_TRX_TYPE[#Headers], 0)), "")</f>
        <v>1119 Bank Transfer Account</v>
      </c>
      <c r="M20" s="1102" t="str">
        <f t="shared" si="16"/>
        <v>MSFT</v>
      </c>
      <c r="N20" s="1103">
        <f>IF((O20="H"),(MAX($N$9:N19)+1),0)</f>
        <v>5</v>
      </c>
      <c r="O20" s="1204" t="str">
        <f t="shared" si="2"/>
        <v>H</v>
      </c>
      <c r="P20" s="1105" cm="1">
        <f t="array" ref="P20">MAX(IF($D$11:$D$34=D20, $S$11:$S$34))</f>
        <v>5</v>
      </c>
      <c r="Q20" s="1106">
        <f>IF((E20="B"),(MAX($Q$7:Q19)+1),0)</f>
        <v>0</v>
      </c>
      <c r="R20" s="1106">
        <f>IF((AG20&lt;0),(MAX($R$9:$R19)+1),0)</f>
        <v>0</v>
      </c>
      <c r="S20" s="1086">
        <f>IF((M20=""),0,COUNTIF($M$9:M20,M20))</f>
        <v>1</v>
      </c>
      <c r="T20" s="1086">
        <f>IFERROR(MATCH(M20,M_SYMBOL[SYMBOL],0),"")</f>
        <v>151</v>
      </c>
      <c r="U20" s="1070">
        <f>IFERROR(MATCH(E20,M_TRX_TYPE[TYPE],0),"")</f>
        <v>13</v>
      </c>
      <c r="V20" s="1107">
        <f t="shared" si="17"/>
        <v>25</v>
      </c>
      <c r="W20" s="1095">
        <f t="shared" si="18"/>
        <v>-11108.71</v>
      </c>
      <c r="X20" s="1108">
        <f t="shared" si="19"/>
        <v>0</v>
      </c>
      <c r="Y20" s="1109">
        <f>IF(S20=1,0,IF(M20="",0,IF(S20&gt;1,(SUMIF($M$9:Z19,M20,$Z$9:Z19))+(SUMIF($M$9:Z19,M20,$AA$9:AA19)),0)))</f>
        <v>0</v>
      </c>
      <c r="Z20" s="1110">
        <f t="shared" si="20"/>
        <v>25</v>
      </c>
      <c r="AA20" s="1111">
        <f t="shared" si="21"/>
        <v>0</v>
      </c>
      <c r="AB20" s="1112">
        <f>DE_BKUS[[#This Row],[PREVIOUS
UNITS]]+DE_BKUS[[#This Row],[SHARES
BOUGHT]]+DE_BKUS[[#This Row],[SHARES 
SOLD]]</f>
        <v>25</v>
      </c>
      <c r="AC20" s="1113">
        <f>IF(S20=1,0,IF(M20="",0,IF(S20&gt;1,SUMIF($M$9:AE19,M20,$AE$9:AE19)+SUMIF($M$9:AE19,M20,$AD$9:AD19),0)))</f>
        <v>0</v>
      </c>
      <c r="AD20" s="1114">
        <f t="shared" si="22"/>
        <v>11108.71</v>
      </c>
      <c r="AE20" s="1115">
        <f t="shared" si="23"/>
        <v>0</v>
      </c>
      <c r="AF20" s="1116">
        <f t="shared" si="24"/>
        <v>11108.71</v>
      </c>
      <c r="AG20" s="1117">
        <f t="shared" si="25"/>
        <v>0</v>
      </c>
      <c r="AH20" s="1115">
        <f>DE_BKUS[[#This Row],[PROCEEDS]]-DE_BKUS[[#This Row],[SOLD]]</f>
        <v>0</v>
      </c>
      <c r="AI20" s="1118">
        <f t="shared" si="29"/>
        <v>45497</v>
      </c>
      <c r="AJ20" s="1119" t="str">
        <f>IF(E20="S", DATEDIF(_xlfn.MAXIFS($F$11:F20, $D$11:D20, D20, $AB$11:AB20, "&gt;0"), F20, "d"), "")</f>
        <v/>
      </c>
      <c r="AK20" s="1118">
        <f>IF(O20="H",DE_BKUS[[#This Row],[DATE]],"")</f>
        <v>45497</v>
      </c>
      <c r="AL20" s="1120">
        <f t="shared" ca="1" si="12"/>
        <v>75</v>
      </c>
      <c r="AM20" s="1121">
        <f t="shared" ca="1" si="13"/>
        <v>33326.129999999997</v>
      </c>
      <c r="AN20" s="1122">
        <v>0</v>
      </c>
      <c r="AO20" s="1122">
        <f ca="1">IFERROR(DE_BKUS[[#This Row],[MKT]]*DE_BKUS[[#This Row],[HOLDINGS]],0)</f>
        <v>0</v>
      </c>
      <c r="AP20" s="1123" t="str">
        <f t="shared" si="26"/>
        <v xml:space="preserve"> </v>
      </c>
      <c r="AQ20" s="159" t="s">
        <v>0</v>
      </c>
      <c r="AR20" s="159"/>
      <c r="AT20" s="1086" t="s">
        <v>35</v>
      </c>
      <c r="AU20" s="1070">
        <f>IFERROR(MATCH(AT20,M_TRX_TYPE[TYPE],0),"")</f>
        <v>8</v>
      </c>
      <c r="AV20" s="1071" t="str" cm="1">
        <f t="array" ref="AV20">IFERROR(INDEX(M_TRX_TYPE[#Data], AU20, MATCH($C$6, M_TRX_TYPE[#Headers], 0)), "")</f>
        <v>1139 Exchange/mark to market</v>
      </c>
      <c r="AW20" s="1087">
        <f t="shared" ca="1" si="30"/>
        <v>0</v>
      </c>
      <c r="AX20" s="1073">
        <f ca="1">FR_U1[[#This Row],[AMOUNT]]</f>
        <v>0</v>
      </c>
      <c r="AY20" s="1074"/>
      <c r="AZ20" s="1074" t="s">
        <v>1</v>
      </c>
      <c r="BA20" s="1081" t="s">
        <v>774</v>
      </c>
      <c r="BB20" s="1081">
        <f t="shared" si="31"/>
        <v>1</v>
      </c>
      <c r="BC20" s="1073">
        <f ca="1">FR_U1[[#This Row],[AMOUNT]]*BB20</f>
        <v>0</v>
      </c>
    </row>
    <row r="21" spans="1:57" s="179" customFormat="1" ht="15.75" customHeight="1">
      <c r="A21" s="177"/>
      <c r="B21" s="624">
        <v>110</v>
      </c>
      <c r="C21" s="617" t="str">
        <f t="shared" si="27"/>
        <v>BK-US</v>
      </c>
      <c r="D21" s="183" t="s">
        <v>779</v>
      </c>
      <c r="E21" s="179" t="s">
        <v>3</v>
      </c>
      <c r="F21" s="180">
        <v>45670</v>
      </c>
      <c r="G21" s="1096">
        <f t="shared" si="15"/>
        <v>103.9898</v>
      </c>
      <c r="H21" s="182">
        <v>100</v>
      </c>
      <c r="I21" s="183"/>
      <c r="J21" s="184">
        <v>-10398.98</v>
      </c>
      <c r="K21" s="1095">
        <f t="shared" si="28"/>
        <v>-10222.23</v>
      </c>
      <c r="L21" s="1100" t="str" cm="1">
        <f t="array" ref="L21">IFERROR(INDEX(M_TRX_TYPE[#Data], U21, MATCH($C$6,M_TRX_TYPE[#Headers], 0)), "")</f>
        <v>1132 Broker US Securities</v>
      </c>
      <c r="M21" s="1102" t="str">
        <f t="shared" si="16"/>
        <v>COP</v>
      </c>
      <c r="N21" s="1103">
        <f>IF((O21="H"),(MAX($N$9:N20)+1),0)</f>
        <v>6</v>
      </c>
      <c r="O21" s="1204" t="str">
        <f t="shared" si="2"/>
        <v>H</v>
      </c>
      <c r="P21" s="1105" cm="1">
        <f t="array" ref="P21">MAX(IF($D$11:$D$34=D21, $S$11:$S$34))</f>
        <v>3</v>
      </c>
      <c r="Q21" s="1106">
        <f>IF((E21="B"),(MAX($Q$7:Q20)+1),0)</f>
        <v>1</v>
      </c>
      <c r="R21" s="1106">
        <f>IF((AG21&lt;0),(MAX($R$9:$R20)+1),0)</f>
        <v>0</v>
      </c>
      <c r="S21" s="1086">
        <f>IF((M21=""),0,COUNTIF($M$9:M21,M21))</f>
        <v>1</v>
      </c>
      <c r="T21" s="1086">
        <f>IFERROR(MATCH(M21,M_SYMBOL[SYMBOL],0),"")</f>
        <v>70</v>
      </c>
      <c r="U21" s="1070">
        <f>IFERROR(MATCH(E21,M_TRX_TYPE[TYPE],0),"")</f>
        <v>3</v>
      </c>
      <c r="V21" s="1107">
        <f t="shared" si="17"/>
        <v>0</v>
      </c>
      <c r="W21" s="1095">
        <f t="shared" si="18"/>
        <v>0</v>
      </c>
      <c r="X21" s="1108">
        <f t="shared" si="19"/>
        <v>10398.98</v>
      </c>
      <c r="Y21" s="1109">
        <f>IF(S21=1,0,IF(M21="",0,IF(S21&gt;1,(SUMIF($M$9:Z20,M21,$Z$9:Z20))+(SUMIF($M$9:Z20,M21,$AA$9:AA20)),0)))</f>
        <v>0</v>
      </c>
      <c r="Z21" s="1110">
        <f t="shared" si="20"/>
        <v>100</v>
      </c>
      <c r="AA21" s="1111">
        <f t="shared" si="21"/>
        <v>0</v>
      </c>
      <c r="AB21" s="1112">
        <f>DE_BKUS[[#This Row],[PREVIOUS
UNITS]]+DE_BKUS[[#This Row],[SHARES
BOUGHT]]+DE_BKUS[[#This Row],[SHARES 
SOLD]]</f>
        <v>100</v>
      </c>
      <c r="AC21" s="1113">
        <f>IF(S21=1,0,IF(M21="",0,IF(S21&gt;1,SUMIF($M$9:AE20,M21,$AE$9:AE20)+SUMIF($M$9:AE20,M21,$AD$9:AD20),0)))</f>
        <v>0</v>
      </c>
      <c r="AD21" s="1114">
        <f t="shared" si="22"/>
        <v>10398.98</v>
      </c>
      <c r="AE21" s="1115">
        <f t="shared" si="23"/>
        <v>0</v>
      </c>
      <c r="AF21" s="1116">
        <f t="shared" si="24"/>
        <v>10398.98</v>
      </c>
      <c r="AG21" s="1117">
        <f t="shared" si="25"/>
        <v>0</v>
      </c>
      <c r="AH21" s="1115">
        <f>DE_BKUS[[#This Row],[PROCEEDS]]-DE_BKUS[[#This Row],[SOLD]]</f>
        <v>0</v>
      </c>
      <c r="AI21" s="1118">
        <f t="shared" si="29"/>
        <v>45670</v>
      </c>
      <c r="AJ21" s="1119" t="str">
        <f>IF(E21="S", DATEDIF(_xlfn.MAXIFS($F$11:F21, $D$11:D21, D21, $AB$11:AB21, "&gt;0"), F21, "d"), "")</f>
        <v/>
      </c>
      <c r="AK21" s="1118">
        <f>IF(O21="H",DE_BKUS[[#This Row],[DATE]],"")</f>
        <v>45670</v>
      </c>
      <c r="AL21" s="1120">
        <f t="shared" ca="1" si="12"/>
        <v>300</v>
      </c>
      <c r="AM21" s="1121">
        <f t="shared" ca="1" si="13"/>
        <v>31196.94</v>
      </c>
      <c r="AN21" s="1122">
        <v>0</v>
      </c>
      <c r="AO21" s="1122">
        <f ca="1">IFERROR(DE_BKUS[[#This Row],[MKT]]*DE_BKUS[[#This Row],[HOLDINGS]],0)</f>
        <v>0</v>
      </c>
      <c r="AP21" s="1123" t="str">
        <f t="shared" si="26"/>
        <v xml:space="preserve"> </v>
      </c>
      <c r="AQ21" s="159" t="s">
        <v>0</v>
      </c>
      <c r="AR21" s="159"/>
      <c r="AT21" s="1086" t="s">
        <v>37</v>
      </c>
      <c r="AU21" s="1070">
        <f>IFERROR(MATCH(AT21,M_TRX_TYPE[TYPE],0),"")</f>
        <v>9</v>
      </c>
      <c r="AV21" s="1071" t="str" cm="1">
        <f t="array" ref="AV21">IFERROR(INDEX(M_TRX_TYPE[#Data], AU21, MATCH($C$6, M_TRX_TYPE[#Headers], 0)), "")</f>
        <v xml:space="preserve">4110 Investment Income Foreign </v>
      </c>
      <c r="AW21" s="1087">
        <f ca="1">SUMIF($E$11:$X$48,AT21,$X$11:$X$48)</f>
        <v>0</v>
      </c>
      <c r="AX21" s="1073">
        <f ca="1">FR_U1[[#This Row],[AMOUNT]]</f>
        <v>0</v>
      </c>
      <c r="AY21" s="1074"/>
      <c r="AZ21" s="1074" t="s">
        <v>1</v>
      </c>
      <c r="BA21" s="1081" t="s">
        <v>774</v>
      </c>
      <c r="BB21" s="1081">
        <f t="shared" si="31"/>
        <v>1</v>
      </c>
      <c r="BC21" s="1073">
        <f ca="1">FR_U1[[#This Row],[AMOUNT]]*BB21</f>
        <v>0</v>
      </c>
    </row>
    <row r="22" spans="1:57" s="179" customFormat="1" ht="15.75" customHeight="1">
      <c r="A22" s="177"/>
      <c r="B22" s="624">
        <v>111</v>
      </c>
      <c r="C22" s="617" t="str">
        <f t="shared" si="27"/>
        <v>BK-US</v>
      </c>
      <c r="D22" s="183" t="s">
        <v>780</v>
      </c>
      <c r="E22" s="179" t="s">
        <v>3</v>
      </c>
      <c r="F22" s="180">
        <v>45670</v>
      </c>
      <c r="G22" s="1096">
        <f t="shared" si="15"/>
        <v>52.084949999999999</v>
      </c>
      <c r="H22" s="182">
        <v>200</v>
      </c>
      <c r="I22" s="183"/>
      <c r="J22" s="184">
        <v>-10416.99</v>
      </c>
      <c r="K22" s="1095">
        <f t="shared" si="28"/>
        <v>-20639.22</v>
      </c>
      <c r="L22" s="1100" t="str" cm="1">
        <f t="array" ref="L22">IFERROR(INDEX(M_TRX_TYPE[#Data], U22, MATCH($C$6,M_TRX_TYPE[#Headers], 0)), "")</f>
        <v>1132 Broker US Securities</v>
      </c>
      <c r="M22" s="1102" t="str">
        <f t="shared" si="16"/>
        <v>OXY</v>
      </c>
      <c r="N22" s="1103">
        <f>IF((O22="H"),(MAX($N$9:N21)+1),0)</f>
        <v>7</v>
      </c>
      <c r="O22" s="1204" t="str">
        <f t="shared" si="2"/>
        <v>H</v>
      </c>
      <c r="P22" s="1105" cm="1">
        <f t="array" ref="P22">MAX(IF($D$11:$D$34=D22, $S$11:$S$34))</f>
        <v>1</v>
      </c>
      <c r="Q22" s="1106">
        <f>IF((E22="B"),(MAX($Q$7:Q21)+1),0)</f>
        <v>2</v>
      </c>
      <c r="R22" s="1106">
        <f>IF((AG22&lt;0),(MAX($R$9:$R21)+1),0)</f>
        <v>0</v>
      </c>
      <c r="S22" s="1086">
        <f>IF((M22=""),0,COUNTIF($M$9:M22,M22))</f>
        <v>1</v>
      </c>
      <c r="T22" s="1086">
        <f>IFERROR(MATCH(M22,M_SYMBOL[SYMBOL],0),"")</f>
        <v>161</v>
      </c>
      <c r="U22" s="1070">
        <f>IFERROR(MATCH(E22,M_TRX_TYPE[TYPE],0),"")</f>
        <v>3</v>
      </c>
      <c r="V22" s="1107">
        <f t="shared" si="17"/>
        <v>0</v>
      </c>
      <c r="W22" s="1095">
        <f t="shared" si="18"/>
        <v>0</v>
      </c>
      <c r="X22" s="1108">
        <f t="shared" si="19"/>
        <v>10416.99</v>
      </c>
      <c r="Y22" s="1109">
        <f>IF(S22=1,0,IF(M22="",0,IF(S22&gt;1,(SUMIF($M$9:Z21,M22,$Z$9:Z21))+(SUMIF($M$9:Z21,M22,$AA$9:AA21)),0)))</f>
        <v>0</v>
      </c>
      <c r="Z22" s="1110">
        <f t="shared" si="20"/>
        <v>200</v>
      </c>
      <c r="AA22" s="1111">
        <f t="shared" si="21"/>
        <v>0</v>
      </c>
      <c r="AB22" s="1112">
        <f>DE_BKUS[[#This Row],[PREVIOUS
UNITS]]+DE_BKUS[[#This Row],[SHARES
BOUGHT]]+DE_BKUS[[#This Row],[SHARES 
SOLD]]</f>
        <v>200</v>
      </c>
      <c r="AC22" s="1113">
        <f>IF(S22=1,0,IF(M22="",0,IF(S22&gt;1,SUMIF($M$9:AE21,M22,$AE$9:AE21)+SUMIF($M$9:AE21,M22,$AD$9:AD21),0)))</f>
        <v>0</v>
      </c>
      <c r="AD22" s="1114">
        <f t="shared" si="22"/>
        <v>10416.99</v>
      </c>
      <c r="AE22" s="1115">
        <f t="shared" si="23"/>
        <v>0</v>
      </c>
      <c r="AF22" s="1116">
        <f t="shared" si="24"/>
        <v>10416.99</v>
      </c>
      <c r="AG22" s="1117">
        <f t="shared" si="25"/>
        <v>0</v>
      </c>
      <c r="AH22" s="1115">
        <f>DE_BKUS[[#This Row],[PROCEEDS]]-DE_BKUS[[#This Row],[SOLD]]</f>
        <v>0</v>
      </c>
      <c r="AI22" s="1118">
        <f t="shared" si="29"/>
        <v>45670</v>
      </c>
      <c r="AJ22" s="1119" t="str">
        <f>IF(E22="S", DATEDIF(_xlfn.MAXIFS($F$11:F22, $D$11:D22, D22, $AB$11:AB22, "&gt;0"), F22, "d"), "")</f>
        <v/>
      </c>
      <c r="AK22" s="1118">
        <f>IF(O22="H",DE_BKUS[[#This Row],[DATE]],"")</f>
        <v>45670</v>
      </c>
      <c r="AL22" s="1120">
        <f t="shared" ca="1" si="12"/>
        <v>200</v>
      </c>
      <c r="AM22" s="1121">
        <f t="shared" ca="1" si="13"/>
        <v>10416.99</v>
      </c>
      <c r="AN22" s="1122">
        <v>0</v>
      </c>
      <c r="AO22" s="1122">
        <f ca="1">IFERROR(DE_BKUS[[#This Row],[MKT]]*DE_BKUS[[#This Row],[HOLDINGS]],0)</f>
        <v>0</v>
      </c>
      <c r="AP22" s="1123" t="str">
        <f t="shared" si="26"/>
        <v xml:space="preserve"> </v>
      </c>
      <c r="AQ22" s="159" t="s">
        <v>0</v>
      </c>
      <c r="AR22" s="159"/>
      <c r="AT22" s="1086" t="s">
        <v>234</v>
      </c>
      <c r="AU22" s="1070">
        <f>IFERROR(MATCH(AT22,M_TRX_TYPE[TYPE],0),"")</f>
        <v>10</v>
      </c>
      <c r="AV22" s="1071" t="str" cm="1">
        <f t="array" ref="AV22">IFERROR(INDEX(M_TRX_TYPE[#Data], AU22, MATCH($C$6, M_TRX_TYPE[#Headers], 0)), "")</f>
        <v>5201 Bank Service Charges</v>
      </c>
      <c r="AW22" s="1087">
        <f ca="1">SUMIF($E$11:$X$48,AT22,$X$11:$X$48)</f>
        <v>0</v>
      </c>
      <c r="AX22" s="1073">
        <f ca="1">FR_U1[[#This Row],[AMOUNT]]</f>
        <v>0</v>
      </c>
      <c r="AY22" s="1074"/>
      <c r="AZ22" s="1074" t="s">
        <v>1</v>
      </c>
      <c r="BA22" s="1081" t="s">
        <v>774</v>
      </c>
      <c r="BB22" s="1081">
        <f t="shared" si="31"/>
        <v>1</v>
      </c>
      <c r="BC22" s="1073">
        <f ca="1">FR_U1[[#This Row],[AMOUNT]]*BB22</f>
        <v>0</v>
      </c>
    </row>
    <row r="23" spans="1:57" s="179" customFormat="1" ht="15.75" customHeight="1">
      <c r="A23" s="177"/>
      <c r="B23" s="624">
        <v>112</v>
      </c>
      <c r="C23" s="617" t="str">
        <f t="shared" si="27"/>
        <v>BK-US</v>
      </c>
      <c r="D23" s="183" t="s">
        <v>778</v>
      </c>
      <c r="E23" s="179" t="s">
        <v>4</v>
      </c>
      <c r="F23" s="180">
        <v>45670</v>
      </c>
      <c r="G23" s="1096">
        <f t="shared" si="15"/>
        <v>416.04879999999997</v>
      </c>
      <c r="H23" s="182">
        <v>-25</v>
      </c>
      <c r="I23" s="183"/>
      <c r="J23" s="184">
        <v>10401.219999999999</v>
      </c>
      <c r="K23" s="1095">
        <f t="shared" si="28"/>
        <v>-10238.000000000002</v>
      </c>
      <c r="L23" s="1100" t="str" cm="1">
        <f t="array" ref="L23">IFERROR(INDEX(M_TRX_TYPE[#Data], U23, MATCH($C$6,M_TRX_TYPE[#Headers], 0)), "")</f>
        <v>4170 US Sale of Securities</v>
      </c>
      <c r="M23" s="1102" t="str">
        <f t="shared" si="16"/>
        <v>MSFT</v>
      </c>
      <c r="N23" s="1103">
        <f>IF((O23="H"),(MAX($N$9:N22)+1),0)</f>
        <v>0</v>
      </c>
      <c r="O23" s="1204" t="str">
        <f t="shared" si="2"/>
        <v/>
      </c>
      <c r="P23" s="1105" cm="1">
        <f t="array" ref="P23">MAX(IF($D$11:$D$34=D23, $S$11:$S$34))</f>
        <v>5</v>
      </c>
      <c r="Q23" s="1106">
        <f>IF((E23="B"),(MAX($Q$7:Q22)+1),0)</f>
        <v>0</v>
      </c>
      <c r="R23" s="1106">
        <f>IF((AG23&lt;0),(MAX($R$9:$R22)+1),0)</f>
        <v>1</v>
      </c>
      <c r="S23" s="1086">
        <f>IF((M23=""),0,COUNTIF($M$9:M23,M23))</f>
        <v>2</v>
      </c>
      <c r="T23" s="1086">
        <f>IFERROR(MATCH(M23,M_SYMBOL[SYMBOL],0),"")</f>
        <v>151</v>
      </c>
      <c r="U23" s="1070">
        <f>IFERROR(MATCH(E23,M_TRX_TYPE[TYPE],0),"")</f>
        <v>4</v>
      </c>
      <c r="V23" s="1107">
        <f t="shared" si="17"/>
        <v>0</v>
      </c>
      <c r="W23" s="1095">
        <f t="shared" si="18"/>
        <v>0</v>
      </c>
      <c r="X23" s="1108">
        <f>IF(OR(E23="O",E23="OC"),0,J23*-1)</f>
        <v>-10401.219999999999</v>
      </c>
      <c r="Y23" s="1109">
        <f ca="1">IF(S23=1,0,IF(M23="",0,IF(S23&gt;1,(SUMIF($M$9:Z22,M23,$Z$9:Z22))+(SUMIF($M$9:Z22,M23,$AA$9:AA22)),0)))</f>
        <v>25</v>
      </c>
      <c r="Z23" s="1110">
        <f t="shared" si="20"/>
        <v>0</v>
      </c>
      <c r="AA23" s="1111">
        <f t="shared" si="21"/>
        <v>-25</v>
      </c>
      <c r="AB23" s="1112">
        <f ca="1">DE_BKUS[[#This Row],[PREVIOUS
UNITS]]+DE_BKUS[[#This Row],[SHARES
BOUGHT]]+DE_BKUS[[#This Row],[SHARES 
SOLD]]</f>
        <v>0</v>
      </c>
      <c r="AC23" s="1113">
        <f ca="1">IF(S23=1,0,IF(M23="",0,IF(S23&gt;1,SUMIF($M$9:AE22,M23,$AE$9:AE22)+SUMIF($M$9:AE22,M23,$AD$9:AD22),0)))</f>
        <v>11108.71</v>
      </c>
      <c r="AD23" s="1114">
        <f t="shared" si="22"/>
        <v>0</v>
      </c>
      <c r="AE23" s="1115">
        <f t="shared" ca="1" si="23"/>
        <v>-11108.71</v>
      </c>
      <c r="AF23" s="1116">
        <f t="shared" ca="1" si="24"/>
        <v>0</v>
      </c>
      <c r="AG23" s="1117">
        <f t="shared" si="25"/>
        <v>-10401.219999999999</v>
      </c>
      <c r="AH23" s="1115">
        <f ca="1">DE_BKUS[[#This Row],[PROCEEDS]]-DE_BKUS[[#This Row],[SOLD]]</f>
        <v>707.48999999999978</v>
      </c>
      <c r="AI23" s="1118" t="str">
        <f t="shared" ca="1" si="29"/>
        <v/>
      </c>
      <c r="AJ23" s="1119">
        <f ca="1">IF(E23="S", DATEDIF(_xlfn.MAXIFS($F$11:F23, $D$11:D23, D23, $AB$11:AB23, "&gt;0"), F23, "d"), "")</f>
        <v>173</v>
      </c>
      <c r="AK23" s="1118" t="str">
        <f>IF(O23="H",DE_BKUS[[#This Row],[DATE]],"")</f>
        <v/>
      </c>
      <c r="AL23" s="1120" t="str">
        <f t="shared" si="12"/>
        <v/>
      </c>
      <c r="AM23" s="1121">
        <f t="shared" si="13"/>
        <v>0</v>
      </c>
      <c r="AN23" s="1122">
        <v>0</v>
      </c>
      <c r="AO23" s="1122">
        <f>IFERROR(DE_BKUS[[#This Row],[MKT]]*DE_BKUS[[#This Row],[HOLDINGS]],0)</f>
        <v>0</v>
      </c>
      <c r="AP23" s="1123" t="str">
        <f t="shared" si="26"/>
        <v xml:space="preserve"> </v>
      </c>
      <c r="AQ23" s="159" t="s">
        <v>0</v>
      </c>
      <c r="AR23" s="159"/>
      <c r="AT23" s="1086" t="s">
        <v>235</v>
      </c>
      <c r="AU23" s="1070">
        <f>IFERROR(MATCH(AT23,M_TRX_TYPE[TYPE],0),"")</f>
        <v>11</v>
      </c>
      <c r="AV23" s="1071" t="str" cm="1">
        <f t="array" ref="AV23">IFERROR(INDEX(M_TRX_TYPE[#Data], AU23, MATCH($C$6, M_TRX_TYPE[#Headers], 0)), "")</f>
        <v>5202 Brokers Margin Interest</v>
      </c>
      <c r="AW23" s="1087">
        <f ca="1">SUMIF($E$11:$X$48,AT23,$X$11:$X$48)</f>
        <v>0</v>
      </c>
      <c r="AX23" s="1073">
        <f ca="1">FR_U1[[#This Row],[AMOUNT]]</f>
        <v>0</v>
      </c>
      <c r="AY23" s="1074"/>
      <c r="AZ23" s="1074" t="s">
        <v>0</v>
      </c>
      <c r="BA23" s="1081" t="s">
        <v>774</v>
      </c>
      <c r="BB23" s="1081">
        <f t="shared" si="31"/>
        <v>1</v>
      </c>
      <c r="BC23" s="1073">
        <f ca="1">FR_U1[[#This Row],[AMOUNT]]*BB23</f>
        <v>0</v>
      </c>
    </row>
    <row r="24" spans="1:57" s="179" customFormat="1" ht="15.75" customHeight="1">
      <c r="A24" s="177"/>
      <c r="B24" s="624">
        <v>113</v>
      </c>
      <c r="C24" s="617" t="str">
        <f t="shared" si="27"/>
        <v>BK-US</v>
      </c>
      <c r="D24" s="183" t="s">
        <v>777</v>
      </c>
      <c r="E24" s="179" t="s">
        <v>4</v>
      </c>
      <c r="F24" s="180">
        <v>45670</v>
      </c>
      <c r="G24" s="1096">
        <f t="shared" si="15"/>
        <v>10.039729999999999</v>
      </c>
      <c r="H24" s="182">
        <v>-1000</v>
      </c>
      <c r="I24" s="183"/>
      <c r="J24" s="184">
        <v>10039.73</v>
      </c>
      <c r="K24" s="1095">
        <f t="shared" si="28"/>
        <v>-198.27000000000226</v>
      </c>
      <c r="L24" s="1100" t="str" cm="1">
        <f t="array" ref="L24">IFERROR(INDEX(M_TRX_TYPE[#Data], U24, MATCH($C$6,M_TRX_TYPE[#Headers], 0)), "")</f>
        <v>4170 US Sale of Securities</v>
      </c>
      <c r="M24" s="1102" t="str">
        <f t="shared" si="16"/>
        <v>IREN</v>
      </c>
      <c r="N24" s="1103">
        <f>IF((O24="H"),(MAX($N$9:N23)+1),0)</f>
        <v>0</v>
      </c>
      <c r="O24" s="1204" t="str">
        <f t="shared" si="2"/>
        <v/>
      </c>
      <c r="P24" s="1105" cm="1">
        <f t="array" ref="P24">MAX(IF($D$11:$D$34=D24, $S$11:$S$34))</f>
        <v>2</v>
      </c>
      <c r="Q24" s="1106">
        <f>IF((E24="B"),(MAX($Q$7:Q23)+1),0)</f>
        <v>0</v>
      </c>
      <c r="R24" s="1106">
        <f>IF((AG24&lt;0),(MAX($R$9:$R23)+1),0)</f>
        <v>2</v>
      </c>
      <c r="S24" s="1086">
        <f>IF((M24=""),0,COUNTIF($M$9:M24,M24))</f>
        <v>2</v>
      </c>
      <c r="T24" s="1086">
        <f>IFERROR(MATCH(M24,M_SYMBOL[SYMBOL],0),"")</f>
        <v>119</v>
      </c>
      <c r="U24" s="1070">
        <f>IFERROR(MATCH(E24,M_TRX_TYPE[TYPE],0),"")</f>
        <v>4</v>
      </c>
      <c r="V24" s="1107">
        <f t="shared" si="17"/>
        <v>0</v>
      </c>
      <c r="W24" s="1095">
        <f t="shared" si="18"/>
        <v>0</v>
      </c>
      <c r="X24" s="1108">
        <f t="shared" si="19"/>
        <v>-10039.73</v>
      </c>
      <c r="Y24" s="1109">
        <f ca="1">IF(S24=1,0,IF(M24="",0,IF(S24&gt;1,(SUMIF($M$9:Z23,M24,$Z$9:Z23))+(SUMIF($M$9:Z23,M24,$AA$9:AA23)),0)))</f>
        <v>1000</v>
      </c>
      <c r="Z24" s="1110">
        <f t="shared" si="20"/>
        <v>0</v>
      </c>
      <c r="AA24" s="1111">
        <f t="shared" si="21"/>
        <v>-1000</v>
      </c>
      <c r="AB24" s="1112">
        <f ca="1">DE_BKUS[[#This Row],[PREVIOUS
UNITS]]+DE_BKUS[[#This Row],[SHARES
BOUGHT]]+DE_BKUS[[#This Row],[SHARES 
SOLD]]</f>
        <v>0</v>
      </c>
      <c r="AC24" s="1113">
        <f ca="1">IF(S24=1,0,IF(M24="",0,IF(S24&gt;1,SUMIF($M$9:AE23,M24,$AE$9:AE23)+SUMIF($M$9:AE23,M24,$AD$9:AD23),0)))</f>
        <v>12653.58</v>
      </c>
      <c r="AD24" s="1114">
        <f t="shared" si="22"/>
        <v>0</v>
      </c>
      <c r="AE24" s="1115">
        <f t="shared" ca="1" si="23"/>
        <v>-12653.58</v>
      </c>
      <c r="AF24" s="1116">
        <f t="shared" ca="1" si="24"/>
        <v>0</v>
      </c>
      <c r="AG24" s="1117">
        <f t="shared" si="25"/>
        <v>-10039.73</v>
      </c>
      <c r="AH24" s="1115">
        <f ca="1">DE_BKUS[[#This Row],[PROCEEDS]]-DE_BKUS[[#This Row],[SOLD]]</f>
        <v>2613.8500000000004</v>
      </c>
      <c r="AI24" s="1118" t="str">
        <f t="shared" ca="1" si="29"/>
        <v/>
      </c>
      <c r="AJ24" s="1119">
        <f ca="1">IF(E24="S", DATEDIF(_xlfn.MAXIFS($F$11:F24, $D$11:D24, D24, $AB$11:AB24, "&gt;0"), F24, "d"), "")</f>
        <v>47</v>
      </c>
      <c r="AK24" s="1118" t="str">
        <f>IF(O24="H",DE_BKUS[[#This Row],[DATE]],"")</f>
        <v/>
      </c>
      <c r="AL24" s="1120" t="str">
        <f t="shared" si="12"/>
        <v/>
      </c>
      <c r="AM24" s="1121">
        <f t="shared" si="13"/>
        <v>0</v>
      </c>
      <c r="AN24" s="1122">
        <v>0</v>
      </c>
      <c r="AO24" s="1122">
        <f>IFERROR(DE_BKUS[[#This Row],[MKT]]*DE_BKUS[[#This Row],[HOLDINGS]],0)</f>
        <v>0</v>
      </c>
      <c r="AP24" s="1123" t="str">
        <f t="shared" si="26"/>
        <v xml:space="preserve"> </v>
      </c>
      <c r="AQ24" s="159" t="s">
        <v>0</v>
      </c>
      <c r="AR24" s="159"/>
      <c r="AT24" s="1086" t="s">
        <v>39</v>
      </c>
      <c r="AU24" s="1070">
        <f>IFERROR(MATCH(AT24,M_TRX_TYPE[TYPE],0),"")</f>
        <v>12</v>
      </c>
      <c r="AV24" s="1071" t="str" cm="1">
        <f t="array" ref="AV24">IFERROR(INDEX(M_TRX_TYPE[#Data], AU24, MATCH($C$6, M_TRX_TYPE[#Headers], 0)), "")</f>
        <v>4140 Foreign Taxes Paid</v>
      </c>
      <c r="AW24" s="1087">
        <f ca="1">SUMIF($E$11:$X$48,AT24,$X$11:$X$48)</f>
        <v>0</v>
      </c>
      <c r="AX24" s="1073">
        <f ca="1">FR_U1[[#This Row],[AMOUNT]]</f>
        <v>0</v>
      </c>
      <c r="AY24" s="1074"/>
      <c r="AZ24" s="1074" t="s">
        <v>1</v>
      </c>
      <c r="BA24" s="1081" t="s">
        <v>774</v>
      </c>
      <c r="BB24" s="1081">
        <f t="shared" si="31"/>
        <v>1</v>
      </c>
      <c r="BC24" s="1073">
        <f ca="1">FR_U1[[#This Row],[AMOUNT]]*BB24</f>
        <v>0</v>
      </c>
    </row>
    <row r="25" spans="1:57" s="179" customFormat="1" ht="15.75" customHeight="1">
      <c r="A25" s="177"/>
      <c r="B25" s="624">
        <v>114</v>
      </c>
      <c r="C25" s="617" t="str">
        <f t="shared" si="27"/>
        <v>BK-US</v>
      </c>
      <c r="D25" s="183" t="s">
        <v>776</v>
      </c>
      <c r="E25" s="179" t="s">
        <v>4</v>
      </c>
      <c r="F25" s="180">
        <v>45670</v>
      </c>
      <c r="G25" s="1096">
        <f t="shared" si="15"/>
        <v>600.55849999999998</v>
      </c>
      <c r="H25" s="182">
        <v>-20</v>
      </c>
      <c r="I25" s="183"/>
      <c r="J25" s="184">
        <v>12011.17</v>
      </c>
      <c r="K25" s="1095">
        <f t="shared" si="28"/>
        <v>11812.899999999998</v>
      </c>
      <c r="L25" s="1100" t="str" cm="1">
        <f t="array" ref="L25">IFERROR(INDEX(M_TRX_TYPE[#Data], U25, MATCH($C$6,M_TRX_TYPE[#Headers], 0)), "")</f>
        <v>4170 US Sale of Securities</v>
      </c>
      <c r="M25" s="1102" t="str">
        <f t="shared" si="16"/>
        <v>META</v>
      </c>
      <c r="N25" s="1103">
        <f>IF((O25="H"),(MAX($N$9:N24)+1),0)</f>
        <v>0</v>
      </c>
      <c r="O25" s="1204" t="str">
        <f t="shared" si="2"/>
        <v/>
      </c>
      <c r="P25" s="1105" cm="1">
        <f t="array" ref="P25">MAX(IF($D$11:$D$34=D25, $S$11:$S$34))</f>
        <v>2</v>
      </c>
      <c r="Q25" s="1106">
        <f>IF((E25="B"),(MAX($Q$7:Q24)+1),0)</f>
        <v>0</v>
      </c>
      <c r="R25" s="1106">
        <f>IF((AG25&lt;0),(MAX($R$9:$R24)+1),0)</f>
        <v>3</v>
      </c>
      <c r="S25" s="1086">
        <f>IF((M25=""),0,COUNTIF($M$9:M25,M25))</f>
        <v>2</v>
      </c>
      <c r="T25" s="1086">
        <f>IFERROR(MATCH(M25,M_SYMBOL[SYMBOL],0),"")</f>
        <v>150</v>
      </c>
      <c r="U25" s="1070">
        <f>IFERROR(MATCH(E25,M_TRX_TYPE[TYPE],0),"")</f>
        <v>4</v>
      </c>
      <c r="V25" s="1107">
        <f t="shared" si="17"/>
        <v>0</v>
      </c>
      <c r="W25" s="1095">
        <f t="shared" si="18"/>
        <v>0</v>
      </c>
      <c r="X25" s="1108">
        <f t="shared" si="19"/>
        <v>-12011.17</v>
      </c>
      <c r="Y25" s="1109">
        <f ca="1">IF(S25=1,0,IF(M25="",0,IF(S25&gt;1,(SUMIF($M$9:Z24,M25,$Z$9:Z24))+(SUMIF($M$9:Z24,M25,$AA$9:AA24)),0)))</f>
        <v>20</v>
      </c>
      <c r="Z25" s="1110">
        <f t="shared" si="20"/>
        <v>0</v>
      </c>
      <c r="AA25" s="1111">
        <f t="shared" si="21"/>
        <v>-20</v>
      </c>
      <c r="AB25" s="1112">
        <f ca="1">DE_BKUS[[#This Row],[PREVIOUS
UNITS]]+DE_BKUS[[#This Row],[SHARES
BOUGHT]]+DE_BKUS[[#This Row],[SHARES 
SOLD]]</f>
        <v>0</v>
      </c>
      <c r="AC25" s="1113">
        <f ca="1">IF(S25=1,0,IF(M25="",0,IF(S25&gt;1,SUMIF($M$9:AE24,M25,$AE$9:AE24)+SUMIF($M$9:AE24,M25,$AD$9:AD24),0)))</f>
        <v>9495.31</v>
      </c>
      <c r="AD25" s="1114">
        <f t="shared" si="22"/>
        <v>0</v>
      </c>
      <c r="AE25" s="1115">
        <f t="shared" ca="1" si="23"/>
        <v>-9495.31</v>
      </c>
      <c r="AF25" s="1116">
        <f t="shared" ca="1" si="24"/>
        <v>0</v>
      </c>
      <c r="AG25" s="1117">
        <f t="shared" si="25"/>
        <v>-12011.17</v>
      </c>
      <c r="AH25" s="1115">
        <f ca="1">DE_BKUS[[#This Row],[PROCEEDS]]-DE_BKUS[[#This Row],[SOLD]]</f>
        <v>-2515.8600000000006</v>
      </c>
      <c r="AI25" s="1118" t="str">
        <f t="shared" ca="1" si="29"/>
        <v/>
      </c>
      <c r="AJ25" s="1119">
        <f ca="1">IF(E25="S", DATEDIF(_xlfn.MAXIFS($F$11:F25, $D$11:D25, D25, $AB$11:AB25, "&gt;0"), F25, "d"), "")</f>
        <v>379</v>
      </c>
      <c r="AK25" s="1118" t="str">
        <f>IF(O25="H",DE_BKUS[[#This Row],[DATE]],"")</f>
        <v/>
      </c>
      <c r="AL25" s="1120" t="str">
        <f t="shared" si="12"/>
        <v/>
      </c>
      <c r="AM25" s="1121">
        <f t="shared" si="13"/>
        <v>0</v>
      </c>
      <c r="AN25" s="1122">
        <v>0</v>
      </c>
      <c r="AO25" s="1122">
        <f>IFERROR(DE_BKUS[[#This Row],[MKT]]*DE_BKUS[[#This Row],[HOLDINGS]],0)</f>
        <v>0</v>
      </c>
      <c r="AP25" s="1123" t="str">
        <f t="shared" si="26"/>
        <v xml:space="preserve"> </v>
      </c>
      <c r="AQ25" s="159" t="s">
        <v>0</v>
      </c>
      <c r="AR25" s="159"/>
      <c r="AT25" s="1086" t="s">
        <v>23</v>
      </c>
      <c r="AU25" s="1070">
        <f>IFERROR(MATCH(AT25,M_TRX_TYPE[TYPE],0),"")</f>
        <v>13</v>
      </c>
      <c r="AV25" s="1071" t="str" cm="1">
        <f t="array" ref="AV25">IFERROR(INDEX(M_TRX_TYPE[#Data], AU25, MATCH($C$6, M_TRX_TYPE[#Headers], 0)), "")</f>
        <v>1119 Bank Transfer Account</v>
      </c>
      <c r="AW25" s="1087">
        <f ca="1">SUMIF($E$11:$X$48,AT25,$X$11:$X$48)</f>
        <v>-94233.040000000008</v>
      </c>
      <c r="AX25" s="1073">
        <f ca="1">FR_U1[[#This Row],[AMOUNT]]</f>
        <v>-94233.040000000008</v>
      </c>
      <c r="AY25" s="1074"/>
      <c r="AZ25" s="1074" t="s">
        <v>0</v>
      </c>
      <c r="BA25" s="1081" t="s">
        <v>774</v>
      </c>
      <c r="BB25" s="1081">
        <f t="shared" si="31"/>
        <v>1</v>
      </c>
      <c r="BC25" s="1073">
        <f ca="1">FR_U1[[#This Row],[AMOUNT]]*BB25</f>
        <v>-94233.040000000008</v>
      </c>
    </row>
    <row r="26" spans="1:57" s="179" customFormat="1" ht="15.75" customHeight="1">
      <c r="A26" s="177"/>
      <c r="B26" s="624">
        <v>115</v>
      </c>
      <c r="C26" s="617" t="str">
        <f t="shared" si="27"/>
        <v>BK-US</v>
      </c>
      <c r="D26" s="183" t="s">
        <v>775</v>
      </c>
      <c r="E26" s="179" t="s">
        <v>4</v>
      </c>
      <c r="F26" s="180">
        <v>45670</v>
      </c>
      <c r="G26" s="1096">
        <f t="shared" si="15"/>
        <v>339.82250000000005</v>
      </c>
      <c r="H26" s="182">
        <v>-28</v>
      </c>
      <c r="I26" s="183"/>
      <c r="J26" s="184">
        <v>9515.0300000000007</v>
      </c>
      <c r="K26" s="1095">
        <f t="shared" si="28"/>
        <v>21327.93</v>
      </c>
      <c r="L26" s="1100" t="str" cm="1">
        <f t="array" ref="L26">IFERROR(INDEX(M_TRX_TYPE[#Data], U26, MATCH($C$6,M_TRX_TYPE[#Headers], 0)), "")</f>
        <v>4170 US Sale of Securities</v>
      </c>
      <c r="M26" s="1102" t="str">
        <f t="shared" si="16"/>
        <v>CRWD</v>
      </c>
      <c r="N26" s="1103">
        <f>IF((O26="H"),(MAX($N$9:N25)+1),0)</f>
        <v>0</v>
      </c>
      <c r="O26" s="1204" t="str">
        <f t="shared" si="2"/>
        <v/>
      </c>
      <c r="P26" s="1105" cm="1">
        <f t="array" ref="P26">MAX(IF($D$11:$D$34=D26, $S$11:$S$34))</f>
        <v>2</v>
      </c>
      <c r="Q26" s="1106">
        <f>IF((E26="B"),(MAX($Q$7:Q25)+1),0)</f>
        <v>0</v>
      </c>
      <c r="R26" s="1106">
        <f>IF((AG26&lt;0),(MAX($R$9:$R25)+1),0)</f>
        <v>4</v>
      </c>
      <c r="S26" s="1086">
        <f>IF((M26=""),0,COUNTIF($M$9:M26,M26))</f>
        <v>2</v>
      </c>
      <c r="T26" s="1086">
        <f>IFERROR(MATCH(M26,M_SYMBOL[SYMBOL],0),"")</f>
        <v>77</v>
      </c>
      <c r="U26" s="1070">
        <f>IFERROR(MATCH(E26,M_TRX_TYPE[TYPE],0),"")</f>
        <v>4</v>
      </c>
      <c r="V26" s="1107">
        <f t="shared" si="17"/>
        <v>0</v>
      </c>
      <c r="W26" s="1095">
        <f t="shared" si="18"/>
        <v>0</v>
      </c>
      <c r="X26" s="1108">
        <f t="shared" si="19"/>
        <v>-9515.0300000000007</v>
      </c>
      <c r="Y26" s="1109">
        <f ca="1">IF(S26=1,0,IF(M26="",0,IF(S26&gt;1,(SUMIF($M$9:Z25,M26,$Z$9:Z25))+(SUMIF($M$9:Z25,M26,$AA$9:AA25)),0)))</f>
        <v>28</v>
      </c>
      <c r="Z26" s="1110">
        <f t="shared" si="20"/>
        <v>0</v>
      </c>
      <c r="AA26" s="1111">
        <f t="shared" si="21"/>
        <v>-28</v>
      </c>
      <c r="AB26" s="1112">
        <f ca="1">DE_BKUS[[#This Row],[PREVIOUS
UNITS]]+DE_BKUS[[#This Row],[SHARES
BOUGHT]]+DE_BKUS[[#This Row],[SHARES 
SOLD]]</f>
        <v>0</v>
      </c>
      <c r="AC26" s="1113">
        <f ca="1">IF(S26=1,0,IF(M26="",0,IF(S26&gt;1,SUMIF($M$9:AE25,M26,$AE$9:AE25)+SUMIF($M$9:AE25,M26,$AD$9:AD25),0)))</f>
        <v>10178.75</v>
      </c>
      <c r="AD26" s="1114">
        <f t="shared" si="22"/>
        <v>0</v>
      </c>
      <c r="AE26" s="1115">
        <f t="shared" ca="1" si="23"/>
        <v>-10178.75</v>
      </c>
      <c r="AF26" s="1116">
        <f t="shared" ca="1" si="24"/>
        <v>0</v>
      </c>
      <c r="AG26" s="1117">
        <f t="shared" si="25"/>
        <v>-9515.0300000000007</v>
      </c>
      <c r="AH26" s="1115">
        <f ca="1">DE_BKUS[[#This Row],[PROCEEDS]]-DE_BKUS[[#This Row],[SOLD]]</f>
        <v>663.71999999999935</v>
      </c>
      <c r="AI26" s="1118" t="str">
        <f t="shared" ca="1" si="29"/>
        <v/>
      </c>
      <c r="AJ26" s="1119">
        <f ca="1">IF(E26="S", DATEDIF(_xlfn.MAXIFS($F$11:F26, $D$11:D26, D26, $AB$11:AB26, "&gt;0"), F26, "d"), "")</f>
        <v>20</v>
      </c>
      <c r="AK26" s="1118" t="str">
        <f>IF(O26="H",DE_BKUS[[#This Row],[DATE]],"")</f>
        <v/>
      </c>
      <c r="AL26" s="1120" t="str">
        <f t="shared" si="12"/>
        <v/>
      </c>
      <c r="AM26" s="1121">
        <f t="shared" si="13"/>
        <v>0</v>
      </c>
      <c r="AN26" s="1122">
        <v>0</v>
      </c>
      <c r="AO26" s="1122">
        <f>IFERROR(DE_BKUS[[#This Row],[MKT]]*DE_BKUS[[#This Row],[HOLDINGS]],0)</f>
        <v>0</v>
      </c>
      <c r="AP26" s="1123" t="str">
        <f t="shared" si="26"/>
        <v xml:space="preserve"> </v>
      </c>
      <c r="AQ26" s="159" t="s">
        <v>0</v>
      </c>
      <c r="AR26" s="159"/>
      <c r="AT26" s="1086" t="s">
        <v>239</v>
      </c>
      <c r="AU26" s="1070">
        <f>IFERROR(MATCH(AT26,M_TRX_TYPE[TYPE],0),"")</f>
        <v>18</v>
      </c>
      <c r="AV26" s="1071" t="str" cm="1">
        <f t="array" ref="AV26">IFERROR(INDEX(M_TRX_TYPE[#Data], AU26, MATCH($C$6, M_TRX_TYPE[#Headers], 0)), "")</f>
        <v>4171 Cost of US Securities Sold</v>
      </c>
      <c r="AW26" s="1087">
        <f ca="1">SUMIF($E$11:$X$48,AT26,$X$11:$X$48)*-1</f>
        <v>-54736.17</v>
      </c>
      <c r="AX26" s="1073">
        <v>0</v>
      </c>
      <c r="AY26" s="1074"/>
      <c r="AZ26" s="1074" t="s">
        <v>0</v>
      </c>
      <c r="BA26" s="1081" t="s">
        <v>774</v>
      </c>
      <c r="BB26" s="1081">
        <f t="shared" si="31"/>
        <v>1</v>
      </c>
      <c r="BC26" s="1073">
        <f ca="1">FR_U1[[#This Row],[AMOUNT]]*BB26</f>
        <v>-54736.17</v>
      </c>
    </row>
    <row r="27" spans="1:57" s="179" customFormat="1" ht="15.75" customHeight="1">
      <c r="A27" s="177"/>
      <c r="B27" s="624">
        <v>116</v>
      </c>
      <c r="C27" s="617" t="str">
        <f t="shared" si="27"/>
        <v>BK-US</v>
      </c>
      <c r="D27" s="183" t="s">
        <v>773</v>
      </c>
      <c r="E27" s="179" t="s">
        <v>4</v>
      </c>
      <c r="F27" s="180">
        <v>45670</v>
      </c>
      <c r="G27" s="1096">
        <f t="shared" si="15"/>
        <v>105.43709999999999</v>
      </c>
      <c r="H27" s="182">
        <v>-100</v>
      </c>
      <c r="I27" s="183"/>
      <c r="J27" s="184">
        <v>10543.71</v>
      </c>
      <c r="K27" s="1095">
        <f t="shared" si="28"/>
        <v>31871.64</v>
      </c>
      <c r="L27" s="1100" t="str" cm="1">
        <f t="array" ref="L27">IFERROR(INDEX(M_TRX_TYPE[#Data], U27, MATCH($C$6,M_TRX_TYPE[#Headers], 0)), "")</f>
        <v>4170 US Sale of Securities</v>
      </c>
      <c r="M27" s="1102" t="str">
        <f t="shared" si="16"/>
        <v>CROX</v>
      </c>
      <c r="N27" s="1103">
        <f>IF((O27="H"),(MAX($N$9:N26)+1),0)</f>
        <v>0</v>
      </c>
      <c r="O27" s="1204" t="str">
        <f t="shared" si="2"/>
        <v/>
      </c>
      <c r="P27" s="1105" cm="1">
        <f t="array" ref="P27">MAX(IF($D$11:$D$34=D27, $S$11:$S$34))</f>
        <v>2</v>
      </c>
      <c r="Q27" s="1106">
        <f>IF((E27="B"),(MAX($Q$7:Q26)+1),0)</f>
        <v>0</v>
      </c>
      <c r="R27" s="1106">
        <f>IF((AG27&lt;0),(MAX($R$9:$R26)+1),0)</f>
        <v>5</v>
      </c>
      <c r="S27" s="1086">
        <f>IF((M27=""),0,COUNTIF($M$9:M27,M27))</f>
        <v>2</v>
      </c>
      <c r="T27" s="1086">
        <f>IFERROR(MATCH(M27,M_SYMBOL[SYMBOL],0),"")</f>
        <v>76</v>
      </c>
      <c r="U27" s="1070">
        <f>IFERROR(MATCH(E27,M_TRX_TYPE[TYPE],0),"")</f>
        <v>4</v>
      </c>
      <c r="V27" s="1107">
        <f t="shared" si="17"/>
        <v>0</v>
      </c>
      <c r="W27" s="1095">
        <f t="shared" si="18"/>
        <v>0</v>
      </c>
      <c r="X27" s="1108">
        <f t="shared" si="19"/>
        <v>-10543.71</v>
      </c>
      <c r="Y27" s="1109">
        <f ca="1">IF(S27=1,0,IF(M27="",0,IF(S27&gt;1,(SUMIF($M$9:Z26,M27,$Z$9:Z26))+(SUMIF($M$9:Z26,M27,$AA$9:AA26)),0)))</f>
        <v>100</v>
      </c>
      <c r="Z27" s="1110">
        <f t="shared" si="20"/>
        <v>0</v>
      </c>
      <c r="AA27" s="1111">
        <f t="shared" si="21"/>
        <v>-100</v>
      </c>
      <c r="AB27" s="1112">
        <f ca="1">DE_BKUS[[#This Row],[PREVIOUS
UNITS]]+DE_BKUS[[#This Row],[SHARES
BOUGHT]]+DE_BKUS[[#This Row],[SHARES 
SOLD]]</f>
        <v>0</v>
      </c>
      <c r="AC27" s="1113">
        <f ca="1">IF(S27=1,0,IF(M27="",0,IF(S27&gt;1,SUMIF($M$9:AE26,M27,$AE$9:AE26)+SUMIF($M$9:AE26,M27,$AD$9:AD26),0)))</f>
        <v>11299.82</v>
      </c>
      <c r="AD27" s="1114">
        <f t="shared" si="22"/>
        <v>0</v>
      </c>
      <c r="AE27" s="1115">
        <f t="shared" ca="1" si="23"/>
        <v>-11299.82</v>
      </c>
      <c r="AF27" s="1116">
        <f t="shared" ca="1" si="24"/>
        <v>0</v>
      </c>
      <c r="AG27" s="1117">
        <f t="shared" si="25"/>
        <v>-10543.71</v>
      </c>
      <c r="AH27" s="1115">
        <f ca="1">DE_BKUS[[#This Row],[PROCEEDS]]-DE_BKUS[[#This Row],[SOLD]]</f>
        <v>756.11000000000058</v>
      </c>
      <c r="AI27" s="1118" t="str">
        <f t="shared" ca="1" si="29"/>
        <v/>
      </c>
      <c r="AJ27" s="1119">
        <f ca="1">IF(E27="S", DATEDIF(_xlfn.MAXIFS($F$11:F27, $D$11:D27, D27, $AB$11:AB27, "&gt;0"), F27, "d"), "")</f>
        <v>21</v>
      </c>
      <c r="AK27" s="1118" t="str">
        <f>IF(O27="H",DE_BKUS[[#This Row],[DATE]],"")</f>
        <v/>
      </c>
      <c r="AL27" s="1120" t="str">
        <f t="shared" si="12"/>
        <v/>
      </c>
      <c r="AM27" s="1121">
        <f t="shared" si="13"/>
        <v>0</v>
      </c>
      <c r="AN27" s="1122">
        <v>0</v>
      </c>
      <c r="AO27" s="1122">
        <f>IFERROR(DE_BKUS[[#This Row],[MKT]]*DE_BKUS[[#This Row],[HOLDINGS]],0)</f>
        <v>0</v>
      </c>
      <c r="AP27" s="1123" t="str">
        <f t="shared" si="26"/>
        <v xml:space="preserve"> </v>
      </c>
      <c r="AQ27" s="159" t="s">
        <v>0</v>
      </c>
      <c r="AR27" s="159"/>
      <c r="AT27" s="1086" t="s">
        <v>36</v>
      </c>
      <c r="AU27" s="1070">
        <f>IFERROR(MATCH(AT27,M_TRX_TYPE[TYPE],0),"")</f>
        <v>16</v>
      </c>
      <c r="AV27" s="1071" t="str" cm="1">
        <f t="array" ref="AV27">IFERROR(INDEX(M_TRX_TYPE[#Data], AU27, MATCH($C$6, M_TRX_TYPE[#Headers], 0)), "")</f>
        <v>1119 Bank Transfer Account</v>
      </c>
      <c r="AW27" s="1087">
        <f ca="1">SUMIF($E$11:$X$48,AT27,$X$11:$X$48)*-1</f>
        <v>0</v>
      </c>
      <c r="AX27" s="1073">
        <f ca="1">FR_U1[[#This Row],[AMOUNT]]</f>
        <v>0</v>
      </c>
      <c r="AY27" s="1074"/>
      <c r="AZ27" s="1074" t="s">
        <v>0</v>
      </c>
      <c r="BA27" s="1081" t="s">
        <v>774</v>
      </c>
      <c r="BB27" s="1081">
        <f t="shared" si="31"/>
        <v>1</v>
      </c>
      <c r="BC27" s="1073">
        <f ca="1">FR_U1[[#This Row],[AMOUNT]]*BB27</f>
        <v>0</v>
      </c>
      <c r="BE27" s="185"/>
    </row>
    <row r="28" spans="1:57" s="179" customFormat="1" ht="15.75" customHeight="1">
      <c r="A28" s="177"/>
      <c r="B28" s="624">
        <v>117</v>
      </c>
      <c r="C28" s="617" t="str">
        <f t="shared" si="27"/>
        <v>BK-US</v>
      </c>
      <c r="D28" s="183" t="s">
        <v>779</v>
      </c>
      <c r="E28" s="179" t="s">
        <v>3</v>
      </c>
      <c r="F28" s="180">
        <v>45908</v>
      </c>
      <c r="G28" s="1096">
        <f t="shared" si="15"/>
        <v>103.9898</v>
      </c>
      <c r="H28" s="182">
        <v>100</v>
      </c>
      <c r="I28" s="183"/>
      <c r="J28" s="184">
        <v>-10398.98</v>
      </c>
      <c r="K28" s="1095">
        <f t="shared" ref="K28" si="32">IF((E28="O"),K27,(K27+J28))</f>
        <v>21472.66</v>
      </c>
      <c r="L28" s="1100" t="str" cm="1">
        <f t="array" ref="L28">IFERROR(INDEX(M_TRX_TYPE[#Data], U28, MATCH($C$6,M_TRX_TYPE[#Headers], 0)), "")</f>
        <v>1132 Broker US Securities</v>
      </c>
      <c r="M28" s="1102" t="str">
        <f t="shared" ref="M28" si="33">IF(OR(E28="O",E28="B",E28="S"),D28,"")</f>
        <v>COP</v>
      </c>
      <c r="N28" s="1103">
        <f>IF((O28="H"),(MAX($N$9:N27)+1),0)</f>
        <v>0</v>
      </c>
      <c r="O28" s="1204" t="str">
        <f t="shared" si="2"/>
        <v/>
      </c>
      <c r="P28" s="1105" cm="1">
        <f t="array" ref="P28">MAX(IF($D$11:$D$34=D28, $S$11:$S$34))</f>
        <v>3</v>
      </c>
      <c r="Q28" s="1106">
        <f>IF((E28="B"),(MAX($Q$7:Q27)+1),0)</f>
        <v>3</v>
      </c>
      <c r="R28" s="1106">
        <f>IF((AG28&lt;0),(MAX($R$9:$R27)+1),0)</f>
        <v>0</v>
      </c>
      <c r="S28" s="1086">
        <f>IF((M28=""),0,COUNTIF($M$9:M28,M28))</f>
        <v>2</v>
      </c>
      <c r="T28" s="1086">
        <f>IFERROR(MATCH(M28,M_SYMBOL[SYMBOL],0),"")</f>
        <v>70</v>
      </c>
      <c r="U28" s="1070">
        <f>IFERROR(MATCH(E28,M_TRX_TYPE[TYPE],0),"")</f>
        <v>3</v>
      </c>
      <c r="V28" s="1107">
        <f t="shared" ref="V28" si="34">IF((E28="O"),H28,0)</f>
        <v>0</v>
      </c>
      <c r="W28" s="1095">
        <f t="shared" ref="W28" si="35">IF((E28="O"),J28,IF(E28="OC",J28,0))</f>
        <v>0</v>
      </c>
      <c r="X28" s="1108">
        <f t="shared" ref="X28" si="36">IF(OR(E28="O",E28="OC"),0,J28*-1)</f>
        <v>10398.98</v>
      </c>
      <c r="Y28" s="1109">
        <f ca="1">IF(S28=1,0,IF(M28="",0,IF(S28&gt;1,(SUMIF($M$9:Z27,M28,$Z$9:Z27))+(SUMIF($M$9:Z27,M28,$AA$9:AA27)),0)))</f>
        <v>100</v>
      </c>
      <c r="Z28" s="1110">
        <f t="shared" ref="Z28" si="37">IF(E28="B",H28,IF(E28="O",H28,0))</f>
        <v>100</v>
      </c>
      <c r="AA28" s="1111">
        <f t="shared" ref="AA28" si="38">IF(E28="S",H28,0)</f>
        <v>0</v>
      </c>
      <c r="AB28" s="1112">
        <f ca="1">DE_BKUS[[#This Row],[PREVIOUS
UNITS]]+DE_BKUS[[#This Row],[SHARES
BOUGHT]]+DE_BKUS[[#This Row],[SHARES 
SOLD]]</f>
        <v>200</v>
      </c>
      <c r="AC28" s="1113">
        <f ca="1">IF(S28=1,0,IF(M28="",0,IF(S28&gt;1,SUMIF($M$9:AE27,M28,$AE$9:AE27)+SUMIF($M$9:AE27,M28,$AD$9:AD27),0)))</f>
        <v>10398.98</v>
      </c>
      <c r="AD28" s="1114">
        <f t="shared" ref="AD28" si="39">IF(M28="",0,IF(OR(E28="B",E28="O"),J28*-1,0))</f>
        <v>10398.98</v>
      </c>
      <c r="AE28" s="1115">
        <f t="shared" ref="AE28" si="40">IF(E28="S",(AC28/Y28)*H28,0)</f>
        <v>0</v>
      </c>
      <c r="AF28" s="1116">
        <f t="shared" ref="AF28" ca="1" si="41">AC28+AD28+AE28</f>
        <v>20797.96</v>
      </c>
      <c r="AG28" s="1117">
        <f t="shared" ref="AG28" si="42">IF(M28="",0,IF(OR(E28="S"),J28*-1,0))</f>
        <v>0</v>
      </c>
      <c r="AH28" s="1115">
        <f>DE_BKUS[[#This Row],[PROCEEDS]]-DE_BKUS[[#This Row],[SOLD]]</f>
        <v>0</v>
      </c>
      <c r="AI28" s="1118">
        <f t="shared" ref="AI28" ca="1" si="43">IF(AB28=0, IF(AND(OR(E28="B", E28="O"), D28=D27), F28, ""), IF(F27="", F28, IF(D28=D27, AI27, F28)))</f>
        <v>45908</v>
      </c>
      <c r="AJ28" s="1119" t="str">
        <f>IF(E28="S", DATEDIF(_xlfn.MAXIFS($F$11:F28, $D$11:D28, D28, $AB$11:AB28, "&gt;0"), F28, "d"), "")</f>
        <v/>
      </c>
      <c r="AK28" s="1118" t="str">
        <f>IF(O28="H",DE_BKUS[[#This Row],[DATE]],"")</f>
        <v/>
      </c>
      <c r="AL28" s="1120" t="str">
        <f t="shared" si="12"/>
        <v/>
      </c>
      <c r="AM28" s="1121">
        <f t="shared" si="13"/>
        <v>0</v>
      </c>
      <c r="AN28" s="1122">
        <v>0</v>
      </c>
      <c r="AO28" s="1122">
        <f>IFERROR(DE_BKUS[[#This Row],[MKT]]*DE_BKUS[[#This Row],[HOLDINGS]],0)</f>
        <v>0</v>
      </c>
      <c r="AP28" s="1123" t="str">
        <f t="shared" ref="AP28" si="44">IF(E28="D",J28," ")</f>
        <v xml:space="preserve"> </v>
      </c>
      <c r="AQ28" s="159" t="s">
        <v>0</v>
      </c>
      <c r="AR28" s="159"/>
      <c r="AT28" s="1086" t="s">
        <v>33</v>
      </c>
      <c r="AU28" s="1070">
        <f>IFERROR(MATCH(AT28,M_TRX_TYPE[TYPE],0),"")</f>
        <v>6</v>
      </c>
      <c r="AV28" s="1071" t="str" cm="1">
        <f t="array" ref="AV28">IFERROR(INDEX(M_TRX_TYPE[#Data], AU28, MATCH($C$6, M_TRX_TYPE[#Headers], 0)), "")</f>
        <v xml:space="preserve">2990 Due from a shareholder </v>
      </c>
      <c r="AW28" s="1087">
        <f ca="1">SUMIF($E$11:$X$48,AT28,$X$11:$X$48)*-1</f>
        <v>0</v>
      </c>
      <c r="AX28" s="1073">
        <f ca="1">FR_U1[[#This Row],[AMOUNT]]</f>
        <v>0</v>
      </c>
      <c r="AY28" s="1074"/>
      <c r="AZ28" s="1074" t="s">
        <v>0</v>
      </c>
      <c r="BA28" s="1081" t="s">
        <v>774</v>
      </c>
      <c r="BB28" s="1081">
        <f t="shared" si="31"/>
        <v>1</v>
      </c>
      <c r="BC28" s="1073">
        <f ca="1">FR_U1[[#This Row],[AMOUNT]]*BB28</f>
        <v>0</v>
      </c>
    </row>
    <row r="29" spans="1:57" s="179" customFormat="1" ht="15.75" customHeight="1">
      <c r="A29" s="177"/>
      <c r="B29" s="624">
        <v>118</v>
      </c>
      <c r="C29" s="617" t="str">
        <f t="shared" si="27"/>
        <v>BK-US</v>
      </c>
      <c r="D29" s="183" t="s">
        <v>778</v>
      </c>
      <c r="E29" s="179" t="s">
        <v>3</v>
      </c>
      <c r="F29" s="180">
        <v>45908</v>
      </c>
      <c r="G29" s="1096">
        <f t="shared" si="15"/>
        <v>444.34839999999997</v>
      </c>
      <c r="H29" s="182">
        <v>25</v>
      </c>
      <c r="I29" s="183"/>
      <c r="J29" s="184">
        <v>-11108.71</v>
      </c>
      <c r="K29" s="1095">
        <f t="shared" ref="K29:K34" si="45">IF((E29="O"),K28,(K28+J29))</f>
        <v>10363.950000000001</v>
      </c>
      <c r="L29" s="1100" t="str" cm="1">
        <f t="array" ref="L29">IFERROR(INDEX(M_TRX_TYPE[#Data], U29, MATCH($C$6,M_TRX_TYPE[#Headers], 0)), "")</f>
        <v>1132 Broker US Securities</v>
      </c>
      <c r="M29" s="1102" t="str">
        <f t="shared" si="16"/>
        <v>MSFT</v>
      </c>
      <c r="N29" s="1103">
        <f>IF((O29="H"),(MAX($N$9:N28)+1),0)</f>
        <v>0</v>
      </c>
      <c r="O29" s="1204" t="str">
        <f t="shared" si="2"/>
        <v/>
      </c>
      <c r="P29" s="1105" cm="1">
        <f t="array" ref="P29">MAX(IF($D$11:$D$34=D29, $S$11:$S$34))</f>
        <v>5</v>
      </c>
      <c r="Q29" s="1106">
        <f>IF((E29="B"),(MAX($Q$7:Q28)+1),0)</f>
        <v>4</v>
      </c>
      <c r="R29" s="1106">
        <f>IF((AG29&lt;0),(MAX($R$9:$R28)+1),0)</f>
        <v>0</v>
      </c>
      <c r="S29" s="1086">
        <f>IF((M29=""),0,COUNTIF($M$9:M29,M29))</f>
        <v>3</v>
      </c>
      <c r="T29" s="1086">
        <f>IFERROR(MATCH(M29,M_SYMBOL[SYMBOL],0),"")</f>
        <v>151</v>
      </c>
      <c r="U29" s="1070">
        <f>IFERROR(MATCH(E29,M_TRX_TYPE[TYPE],0),"")</f>
        <v>3</v>
      </c>
      <c r="V29" s="1107">
        <f t="shared" si="17"/>
        <v>0</v>
      </c>
      <c r="W29" s="1095">
        <f t="shared" si="18"/>
        <v>0</v>
      </c>
      <c r="X29" s="1108">
        <f t="shared" si="19"/>
        <v>11108.71</v>
      </c>
      <c r="Y29" s="1109">
        <f ca="1">IF(S29=1,0,IF(M29="",0,IF(S29&gt;1,(SUMIF($M$9:Z28,M29,$Z$9:Z28))+(SUMIF($M$9:Z28,M29,$AA$9:AA28)),0)))</f>
        <v>0</v>
      </c>
      <c r="Z29" s="1110">
        <f t="shared" si="20"/>
        <v>25</v>
      </c>
      <c r="AA29" s="1111">
        <f t="shared" si="21"/>
        <v>0</v>
      </c>
      <c r="AB29" s="1112">
        <f ca="1">DE_BKUS[[#This Row],[PREVIOUS
UNITS]]+DE_BKUS[[#This Row],[SHARES
BOUGHT]]+DE_BKUS[[#This Row],[SHARES 
SOLD]]</f>
        <v>25</v>
      </c>
      <c r="AC29" s="1113">
        <f ca="1">IF(S29=1,0,IF(M29="",0,IF(S29&gt;1,SUMIF($M$9:AE28,M29,$AE$9:AE28)+SUMIF($M$9:AE28,M29,$AD$9:AD28),0)))</f>
        <v>0</v>
      </c>
      <c r="AD29" s="1114">
        <f t="shared" si="22"/>
        <v>11108.71</v>
      </c>
      <c r="AE29" s="1115">
        <f t="shared" si="23"/>
        <v>0</v>
      </c>
      <c r="AF29" s="1116">
        <f t="shared" ca="1" si="24"/>
        <v>11108.71</v>
      </c>
      <c r="AG29" s="1117">
        <f t="shared" si="25"/>
        <v>0</v>
      </c>
      <c r="AH29" s="1115">
        <f>DE_BKUS[[#This Row],[PROCEEDS]]-DE_BKUS[[#This Row],[SOLD]]</f>
        <v>0</v>
      </c>
      <c r="AI29" s="1118">
        <f t="shared" ca="1" si="29"/>
        <v>45908</v>
      </c>
      <c r="AJ29" s="1119" t="str">
        <f>IF(E29="S", DATEDIF(_xlfn.MAXIFS($F$11:F29, $D$11:D29, D29, $AB$11:AB29, "&gt;0"), F29, "d"), "")</f>
        <v/>
      </c>
      <c r="AK29" s="1118" t="str">
        <f>IF(O29="H",DE_BKUS[[#This Row],[DATE]],"")</f>
        <v/>
      </c>
      <c r="AL29" s="1120" t="str">
        <f t="shared" si="12"/>
        <v/>
      </c>
      <c r="AM29" s="1121">
        <f t="shared" si="13"/>
        <v>0</v>
      </c>
      <c r="AN29" s="1122">
        <v>0</v>
      </c>
      <c r="AO29" s="1122">
        <f>IFERROR(DE_BKUS[[#This Row],[MKT]]*DE_BKUS[[#This Row],[HOLDINGS]],0)</f>
        <v>0</v>
      </c>
      <c r="AP29" s="1123" t="str">
        <f t="shared" si="26"/>
        <v xml:space="preserve"> </v>
      </c>
      <c r="AQ29" s="159" t="s">
        <v>0</v>
      </c>
      <c r="AR29" s="159"/>
      <c r="AT29" s="1086"/>
      <c r="AU29" s="1086"/>
      <c r="AV29" s="1082"/>
      <c r="AW29" s="1087">
        <f ca="1">SUBTOTAL(109,AW14:AW28)</f>
        <v>-210718.53000000003</v>
      </c>
      <c r="AX29" s="1087">
        <f ca="1">SUBTOTAL(109,AX14:AX28)</f>
        <v>-74029.150000000009</v>
      </c>
      <c r="AY29" s="1074"/>
      <c r="AZ29" s="1074"/>
      <c r="BA29" s="1081"/>
      <c r="BB29" s="1081"/>
      <c r="BC29" s="1087">
        <f ca="1">SUBTOTAL(109,BC14:BC28)</f>
        <v>-210718.53000000003</v>
      </c>
    </row>
    <row r="30" spans="1:57" s="179" customFormat="1" ht="15.75" customHeight="1">
      <c r="A30" s="177"/>
      <c r="B30" s="624">
        <v>119</v>
      </c>
      <c r="C30" s="617" t="str">
        <f t="shared" si="27"/>
        <v>BK-US</v>
      </c>
      <c r="D30" s="183" t="s">
        <v>778</v>
      </c>
      <c r="E30" s="179" t="s">
        <v>3</v>
      </c>
      <c r="F30" s="180">
        <v>45908</v>
      </c>
      <c r="G30" s="1096">
        <f t="shared" si="15"/>
        <v>444.34839999999997</v>
      </c>
      <c r="H30" s="182">
        <v>25</v>
      </c>
      <c r="I30" s="183"/>
      <c r="J30" s="184">
        <v>-11108.71</v>
      </c>
      <c r="K30" s="1095">
        <f t="shared" si="45"/>
        <v>-744.7599999999984</v>
      </c>
      <c r="L30" s="1100" t="str" cm="1">
        <f t="array" ref="L30">IFERROR(INDEX(M_TRX_TYPE[#Data], U30, MATCH($C$6,M_TRX_TYPE[#Headers], 0)), "")</f>
        <v>1132 Broker US Securities</v>
      </c>
      <c r="M30" s="1102" t="str">
        <f t="shared" si="16"/>
        <v>MSFT</v>
      </c>
      <c r="N30" s="1103">
        <f>IF((O30="H"),(MAX($N$9:N29)+1),0)</f>
        <v>0</v>
      </c>
      <c r="O30" s="1204" t="str">
        <f t="shared" si="2"/>
        <v/>
      </c>
      <c r="P30" s="1105" cm="1">
        <f t="array" ref="P30">MAX(IF($D$11:$D$34=D30, $S$11:$S$34))</f>
        <v>5</v>
      </c>
      <c r="Q30" s="1106">
        <f>IF((E30="B"),(MAX($Q$7:Q29)+1),0)</f>
        <v>5</v>
      </c>
      <c r="R30" s="1106">
        <f>IF((AG30&lt;0),(MAX($R$9:$R29)+1),0)</f>
        <v>0</v>
      </c>
      <c r="S30" s="1086">
        <f>IF((M30=""),0,COUNTIF($M$9:M30,M30))</f>
        <v>4</v>
      </c>
      <c r="T30" s="1086">
        <f>IFERROR(MATCH(M30,M_SYMBOL[SYMBOL],0),"")</f>
        <v>151</v>
      </c>
      <c r="U30" s="1070">
        <f>IFERROR(MATCH(E30,M_TRX_TYPE[TYPE],0),"")</f>
        <v>3</v>
      </c>
      <c r="V30" s="1107">
        <f t="shared" si="17"/>
        <v>0</v>
      </c>
      <c r="W30" s="1095">
        <f t="shared" si="18"/>
        <v>0</v>
      </c>
      <c r="X30" s="1108">
        <f t="shared" si="19"/>
        <v>11108.71</v>
      </c>
      <c r="Y30" s="1109">
        <f ca="1">IF(S30=1,0,IF(M30="",0,IF(S30&gt;1,(SUMIF($M$9:Z29,M30,$Z$9:Z29))+(SUMIF($M$9:Z29,M30,$AA$9:AA29)),0)))</f>
        <v>25</v>
      </c>
      <c r="Z30" s="1110">
        <f t="shared" si="20"/>
        <v>25</v>
      </c>
      <c r="AA30" s="1111">
        <f t="shared" si="21"/>
        <v>0</v>
      </c>
      <c r="AB30" s="1112">
        <f ca="1">DE_BKUS[[#This Row],[PREVIOUS
UNITS]]+DE_BKUS[[#This Row],[SHARES
BOUGHT]]+DE_BKUS[[#This Row],[SHARES 
SOLD]]</f>
        <v>50</v>
      </c>
      <c r="AC30" s="1113">
        <f ca="1">IF(S30=1,0,IF(M30="",0,IF(S30&gt;1,SUMIF($M$9:AE29,M30,$AE$9:AE29)+SUMIF($M$9:AE29,M30,$AD$9:AD29),0)))</f>
        <v>11108.71</v>
      </c>
      <c r="AD30" s="1114">
        <f t="shared" si="22"/>
        <v>11108.71</v>
      </c>
      <c r="AE30" s="1115">
        <f t="shared" si="23"/>
        <v>0</v>
      </c>
      <c r="AF30" s="1116">
        <f t="shared" ca="1" si="24"/>
        <v>22217.42</v>
      </c>
      <c r="AG30" s="1117">
        <f t="shared" si="25"/>
        <v>0</v>
      </c>
      <c r="AH30" s="1115">
        <f>DE_BKUS[[#This Row],[PROCEEDS]]-DE_BKUS[[#This Row],[SOLD]]</f>
        <v>0</v>
      </c>
      <c r="AI30" s="1118">
        <f t="shared" ca="1" si="29"/>
        <v>45908</v>
      </c>
      <c r="AJ30" s="1119" t="str">
        <f>IF(E30="S", DATEDIF(_xlfn.MAXIFS($F$11:F30, $D$11:D30, D30, $AB$11:AB30, "&gt;0"), F30, "d"), "")</f>
        <v/>
      </c>
      <c r="AK30" s="1118" t="str">
        <f>IF(O30="H",DE_BKUS[[#This Row],[DATE]],"")</f>
        <v/>
      </c>
      <c r="AL30" s="1120" t="str">
        <f t="shared" si="12"/>
        <v/>
      </c>
      <c r="AM30" s="1121">
        <f t="shared" si="13"/>
        <v>0</v>
      </c>
      <c r="AN30" s="1122">
        <v>0</v>
      </c>
      <c r="AO30" s="1122">
        <f>IFERROR(DE_BKUS[[#This Row],[MKT]]*DE_BKUS[[#This Row],[HOLDINGS]],0)</f>
        <v>0</v>
      </c>
      <c r="AP30" s="1123" t="str">
        <f t="shared" si="26"/>
        <v xml:space="preserve"> </v>
      </c>
      <c r="AQ30" s="159" t="s">
        <v>0</v>
      </c>
      <c r="AR30" s="159"/>
      <c r="AT30" s="1082" t="s">
        <v>781</v>
      </c>
      <c r="AU30" s="1082" t="s">
        <v>28</v>
      </c>
      <c r="AV30" s="1082" t="s">
        <v>0</v>
      </c>
      <c r="AW30" s="1078"/>
      <c r="AX30" s="1073"/>
      <c r="AY30" s="1074" t="s">
        <v>0</v>
      </c>
      <c r="AZ30" s="1074"/>
      <c r="BA30" s="1081"/>
      <c r="BB30" s="1081"/>
      <c r="BC30" s="1073"/>
    </row>
    <row r="31" spans="1:57" s="179" customFormat="1" ht="15.75" customHeight="1" thickBot="1">
      <c r="A31" s="177"/>
      <c r="B31" s="624">
        <v>120</v>
      </c>
      <c r="C31" s="617" t="str">
        <f t="shared" si="27"/>
        <v>BK-US</v>
      </c>
      <c r="D31" s="183" t="s">
        <v>778</v>
      </c>
      <c r="E31" s="179" t="s">
        <v>3</v>
      </c>
      <c r="F31" s="180">
        <v>45908</v>
      </c>
      <c r="G31" s="1096">
        <f t="shared" si="15"/>
        <v>444.34839999999997</v>
      </c>
      <c r="H31" s="182">
        <v>25</v>
      </c>
      <c r="I31" s="183"/>
      <c r="J31" s="184">
        <v>-11108.71</v>
      </c>
      <c r="K31" s="1095">
        <f t="shared" si="45"/>
        <v>-11853.469999999998</v>
      </c>
      <c r="L31" s="1100" t="str" cm="1">
        <f t="array" ref="L31">IFERROR(INDEX(M_TRX_TYPE[#Data], U31, MATCH($C$6,M_TRX_TYPE[#Headers], 0)), "")</f>
        <v>1132 Broker US Securities</v>
      </c>
      <c r="M31" s="1102" t="str">
        <f t="shared" si="16"/>
        <v>MSFT</v>
      </c>
      <c r="N31" s="1103">
        <f>IF((O31="H"),(MAX($N$9:N30)+1),0)</f>
        <v>0</v>
      </c>
      <c r="O31" s="1204" t="str">
        <f t="shared" si="2"/>
        <v/>
      </c>
      <c r="P31" s="1105" cm="1">
        <f t="array" ref="P31">MAX(IF($D$11:$D$34=D31, $S$11:$S$34))</f>
        <v>5</v>
      </c>
      <c r="Q31" s="1106">
        <f>IF((E31="B"),(MAX($Q$7:Q30)+1),0)</f>
        <v>6</v>
      </c>
      <c r="R31" s="1106">
        <f>IF((AG31&lt;0),(MAX($R$9:$R30)+1),0)</f>
        <v>0</v>
      </c>
      <c r="S31" s="1086">
        <f>IF((M31=""),0,COUNTIF($M$9:M31,M31))</f>
        <v>5</v>
      </c>
      <c r="T31" s="1086">
        <f>IFERROR(MATCH(M31,M_SYMBOL[SYMBOL],0),"")</f>
        <v>151</v>
      </c>
      <c r="U31" s="1070">
        <f>IFERROR(MATCH(E31,M_TRX_TYPE[TYPE],0),"")</f>
        <v>3</v>
      </c>
      <c r="V31" s="1107">
        <f t="shared" si="17"/>
        <v>0</v>
      </c>
      <c r="W31" s="1095">
        <f t="shared" si="18"/>
        <v>0</v>
      </c>
      <c r="X31" s="1108">
        <f t="shared" si="19"/>
        <v>11108.71</v>
      </c>
      <c r="Y31" s="1109">
        <f ca="1">IF(S31=1,0,IF(M31="",0,IF(S31&gt;1,(SUMIF($M$9:Z30,M31,$Z$9:Z30))+(SUMIF($M$9:Z30,M31,$AA$9:AA30)),0)))</f>
        <v>50</v>
      </c>
      <c r="Z31" s="1110">
        <f t="shared" si="20"/>
        <v>25</v>
      </c>
      <c r="AA31" s="1111">
        <f t="shared" si="21"/>
        <v>0</v>
      </c>
      <c r="AB31" s="1112">
        <f ca="1">DE_BKUS[[#This Row],[PREVIOUS
UNITS]]+DE_BKUS[[#This Row],[SHARES
BOUGHT]]+DE_BKUS[[#This Row],[SHARES 
SOLD]]</f>
        <v>75</v>
      </c>
      <c r="AC31" s="1113">
        <f ca="1">IF(S31=1,0,IF(M31="",0,IF(S31&gt;1,SUMIF($M$9:AE30,M31,$AE$9:AE30)+SUMIF($M$9:AE30,M31,$AD$9:AD30),0)))</f>
        <v>22217.42</v>
      </c>
      <c r="AD31" s="1114">
        <f t="shared" si="22"/>
        <v>11108.71</v>
      </c>
      <c r="AE31" s="1115">
        <f t="shared" si="23"/>
        <v>0</v>
      </c>
      <c r="AF31" s="1116">
        <f t="shared" ca="1" si="24"/>
        <v>33326.129999999997</v>
      </c>
      <c r="AG31" s="1117">
        <f t="shared" si="25"/>
        <v>0</v>
      </c>
      <c r="AH31" s="1115">
        <f>DE_BKUS[[#This Row],[PROCEEDS]]-DE_BKUS[[#This Row],[SOLD]]</f>
        <v>0</v>
      </c>
      <c r="AI31" s="1118">
        <f t="shared" ca="1" si="29"/>
        <v>45908</v>
      </c>
      <c r="AJ31" s="1119" t="str">
        <f>IF(E31="S", DATEDIF(_xlfn.MAXIFS($F$11:F31, $D$11:D31, D31, $AB$11:AB31, "&gt;0"), F31, "d"), "")</f>
        <v/>
      </c>
      <c r="AK31" s="1118" t="str">
        <f>IF(O31="H",DE_BKUS[[#This Row],[DATE]],"")</f>
        <v/>
      </c>
      <c r="AL31" s="1120" t="str">
        <f t="shared" si="12"/>
        <v/>
      </c>
      <c r="AM31" s="1121">
        <f t="shared" si="13"/>
        <v>0</v>
      </c>
      <c r="AN31" s="1122">
        <v>0</v>
      </c>
      <c r="AO31" s="1122">
        <f>IFERROR(DE_BKUS[[#This Row],[MKT]]*DE_BKUS[[#This Row],[HOLDINGS]],0)</f>
        <v>0</v>
      </c>
      <c r="AP31" s="1123" t="str">
        <f t="shared" si="26"/>
        <v xml:space="preserve"> </v>
      </c>
      <c r="AQ31" s="159" t="s">
        <v>0</v>
      </c>
      <c r="AR31" s="159"/>
      <c r="AT31" s="1086" t="s">
        <v>228</v>
      </c>
      <c r="AU31" s="1070" t="str">
        <f>IFERROR(MATCH(AT31,M_TRX_TYPE[TYPE],0),"")</f>
        <v/>
      </c>
      <c r="AV31" s="1071" t="str" cm="1">
        <f t="array" ref="AV31">IFERROR(INDEX(M_TRX_TYPE[#Data], AU31, MATCH($C$6, M_TRX_TYPE[#Headers], 0)), "")</f>
        <v/>
      </c>
      <c r="AW31" s="1088">
        <f ca="1">AW29+AW12</f>
        <v>-210541.78000000003</v>
      </c>
      <c r="AX31" s="1073"/>
      <c r="AY31" s="1074"/>
      <c r="AZ31" s="1074"/>
      <c r="BA31" s="1081" t="e" vm="12">
        <v>#VALUE!</v>
      </c>
      <c r="BB31" s="1081" cm="1">
        <f t="array" aca="1" ref="BB31" ca="1">_FV(FR_U1[[#This Row],[EXCHNAGE
METHOD]],"Price")</f>
        <v>1.3989</v>
      </c>
      <c r="BC31" s="1073">
        <f ca="1">FR_U1[[#This Row],[EXCHANGE
RATE]]*(FR_U1[[#This Row],[TOTAL
MKT PY/CY]]+FR_U1[[#This Row],[AMOUNT]])</f>
        <v>-294526.89604200004</v>
      </c>
    </row>
    <row r="32" spans="1:57" s="179" customFormat="1" ht="15.75" customHeight="1" thickTop="1" thickBot="1">
      <c r="A32" s="177"/>
      <c r="B32" s="624">
        <v>121</v>
      </c>
      <c r="C32" s="617" t="str">
        <f t="shared" si="27"/>
        <v>BK-US</v>
      </c>
      <c r="D32" s="183" t="s">
        <v>779</v>
      </c>
      <c r="E32" s="179" t="s">
        <v>3</v>
      </c>
      <c r="F32" s="180">
        <v>45908</v>
      </c>
      <c r="G32" s="1096">
        <f t="shared" si="15"/>
        <v>103.9898</v>
      </c>
      <c r="H32" s="182">
        <v>100</v>
      </c>
      <c r="I32" s="183"/>
      <c r="J32" s="184">
        <v>-10398.98</v>
      </c>
      <c r="K32" s="1095">
        <f t="shared" si="45"/>
        <v>-22252.449999999997</v>
      </c>
      <c r="L32" s="1100" t="str" cm="1">
        <f t="array" ref="L32">IFERROR(INDEX(M_TRX_TYPE[#Data], U32, MATCH($C$6,M_TRX_TYPE[#Headers], 0)), "")</f>
        <v>1132 Broker US Securities</v>
      </c>
      <c r="M32" s="1102" t="str">
        <f t="shared" si="16"/>
        <v>COP</v>
      </c>
      <c r="N32" s="1103">
        <f>IF((O32="H"),(MAX($N$9:N31)+1),0)</f>
        <v>0</v>
      </c>
      <c r="O32" s="1204" t="str">
        <f t="shared" si="2"/>
        <v/>
      </c>
      <c r="P32" s="1105" cm="1">
        <f t="array" ref="P32">MAX(IF($D$11:$D$34=D32, $S$11:$S$34))</f>
        <v>3</v>
      </c>
      <c r="Q32" s="1106">
        <f>IF((E32="B"),(MAX($Q$7:Q31)+1),0)</f>
        <v>7</v>
      </c>
      <c r="R32" s="1106">
        <f>IF((AG32&lt;0),(MAX($R$9:$R31)+1),0)</f>
        <v>0</v>
      </c>
      <c r="S32" s="1086">
        <f>IF((M32=""),0,COUNTIF($M$9:M32,M32))</f>
        <v>3</v>
      </c>
      <c r="T32" s="1086">
        <f>IFERROR(MATCH(M32,M_SYMBOL[SYMBOL],0),"")</f>
        <v>70</v>
      </c>
      <c r="U32" s="1070">
        <f>IFERROR(MATCH(E32,M_TRX_TYPE[TYPE],0),"")</f>
        <v>3</v>
      </c>
      <c r="V32" s="1107">
        <f t="shared" si="17"/>
        <v>0</v>
      </c>
      <c r="W32" s="1095">
        <f t="shared" si="18"/>
        <v>0</v>
      </c>
      <c r="X32" s="1108">
        <f t="shared" si="19"/>
        <v>10398.98</v>
      </c>
      <c r="Y32" s="1109">
        <f ca="1">IF(S32=1,0,IF(M32="",0,IF(S32&gt;1,(SUMIF($M$9:Z31,M32,$Z$9:Z31))+(SUMIF($M$9:Z31,M32,$AA$9:AA31)),0)))</f>
        <v>200</v>
      </c>
      <c r="Z32" s="1110">
        <f t="shared" si="20"/>
        <v>100</v>
      </c>
      <c r="AA32" s="1111">
        <f t="shared" si="21"/>
        <v>0</v>
      </c>
      <c r="AB32" s="1112">
        <f ca="1">DE_BKUS[[#This Row],[PREVIOUS
UNITS]]+DE_BKUS[[#This Row],[SHARES
BOUGHT]]+DE_BKUS[[#This Row],[SHARES 
SOLD]]</f>
        <v>300</v>
      </c>
      <c r="AC32" s="1113">
        <f ca="1">IF(S32=1,0,IF(M32="",0,IF(S32&gt;1,SUMIF($M$9:AE31,M32,$AE$9:AE31)+SUMIF($M$9:AE31,M32,$AD$9:AD31),0)))</f>
        <v>20797.96</v>
      </c>
      <c r="AD32" s="1114">
        <f t="shared" si="22"/>
        <v>10398.98</v>
      </c>
      <c r="AE32" s="1115">
        <f t="shared" si="23"/>
        <v>0</v>
      </c>
      <c r="AF32" s="1116">
        <f t="shared" ca="1" si="24"/>
        <v>31196.94</v>
      </c>
      <c r="AG32" s="1117">
        <f t="shared" si="25"/>
        <v>0</v>
      </c>
      <c r="AH32" s="1115">
        <f>DE_BKUS[[#This Row],[PROCEEDS]]-DE_BKUS[[#This Row],[SOLD]]</f>
        <v>0</v>
      </c>
      <c r="AI32" s="1118">
        <f t="shared" ca="1" si="29"/>
        <v>45908</v>
      </c>
      <c r="AJ32" s="1119" t="str">
        <f>IF(E32="S", DATEDIF(_xlfn.MAXIFS($F$11:F32, $D$11:D32, D32, $AB$11:AB32, "&gt;0"), F32, "d"), "")</f>
        <v/>
      </c>
      <c r="AK32" s="1118" t="str">
        <f>IF(O32="H",DE_BKUS[[#This Row],[DATE]],"")</f>
        <v/>
      </c>
      <c r="AL32" s="1120" t="str">
        <f t="shared" si="12"/>
        <v/>
      </c>
      <c r="AM32" s="1121">
        <f t="shared" si="13"/>
        <v>0</v>
      </c>
      <c r="AN32" s="1122">
        <v>0</v>
      </c>
      <c r="AO32" s="1122">
        <f>IFERROR(DE_BKUS[[#This Row],[MKT]]*DE_BKUS[[#This Row],[HOLDINGS]],0)</f>
        <v>0</v>
      </c>
      <c r="AP32" s="1123" t="str">
        <f t="shared" si="26"/>
        <v xml:space="preserve"> </v>
      </c>
      <c r="AQ32" s="159" t="s">
        <v>0</v>
      </c>
      <c r="AR32" s="159"/>
      <c r="AT32" s="1086">
        <v>999</v>
      </c>
      <c r="AU32" s="1070" t="str">
        <f>IFERROR(MATCH(AT32,M_TRX_TYPE[TYPE],0),"")</f>
        <v/>
      </c>
      <c r="AV32" s="1071" t="str" cm="1">
        <f t="array" ref="AV32">IFERROR(INDEX(M_TRX_TYPE[#Data], AU32, MATCH($C$6, M_TRX_TYPE[#Headers], 0)), "")</f>
        <v/>
      </c>
      <c r="AW32" s="1089"/>
      <c r="AX32" s="1088">
        <f ca="1">AX29+AX12</f>
        <v>20203.89</v>
      </c>
      <c r="AY32" s="1074">
        <f ca="1">SUMIF($E$11:$AM$48,AT32,$AO$11:$AO$48)</f>
        <v>0</v>
      </c>
      <c r="AZ32" s="1090">
        <f ca="1">FR_U1[[#This Row],[TOTAL
MKT PY/CY]]-FR_U1[[#This Row],[SECURITIES]]</f>
        <v>-20203.89</v>
      </c>
      <c r="BA32" s="1081" t="e" vm="12">
        <v>#VALUE!</v>
      </c>
      <c r="BB32" s="1081" cm="1">
        <f t="array" aca="1" ref="BB32" ca="1">_FV(FR_U1[[#This Row],[EXCHNAGE
METHOD]],"Price")</f>
        <v>1.3989</v>
      </c>
      <c r="BC32" s="1073">
        <f ca="1">FR_U1[[#This Row],[EXCHANGE
RATE]]*(FR_U1[[#This Row],[TOTAL
MKT PY/CY]]+FR_U1[[#This Row],[AMOUNT]])</f>
        <v>0</v>
      </c>
    </row>
    <row r="33" spans="1:57" s="179" customFormat="1" ht="15.75" customHeight="1" thickTop="1">
      <c r="A33" s="177"/>
      <c r="B33" s="624">
        <v>122</v>
      </c>
      <c r="C33" s="617" t="str">
        <f t="shared" si="27"/>
        <v>BK-US</v>
      </c>
      <c r="D33" s="183" t="s">
        <v>0</v>
      </c>
      <c r="E33" s="179" t="s">
        <v>0</v>
      </c>
      <c r="F33" s="180">
        <v>45670</v>
      </c>
      <c r="G33" s="1096" t="str">
        <f t="shared" si="15"/>
        <v xml:space="preserve"> </v>
      </c>
      <c r="H33" s="182">
        <v>0</v>
      </c>
      <c r="I33" s="183"/>
      <c r="J33" s="184">
        <v>0</v>
      </c>
      <c r="K33" s="1095">
        <f t="shared" si="45"/>
        <v>-22252.449999999997</v>
      </c>
      <c r="L33" s="1100" t="str" cm="1">
        <f t="array" ref="L33">IFERROR(INDEX(M_TRX_TYPE[#Data], U33, MATCH($C$6,M_TRX_TYPE[#Headers], 0)), "")</f>
        <v/>
      </c>
      <c r="M33" s="1102" t="str">
        <f t="shared" si="16"/>
        <v/>
      </c>
      <c r="N33" s="1103">
        <f>IF((O33="H"),(MAX($N$9:N32)+1),0)</f>
        <v>0</v>
      </c>
      <c r="O33" s="1204" t="str">
        <f t="shared" si="2"/>
        <v/>
      </c>
      <c r="P33" s="1105" cm="1">
        <f t="array" ref="P33">MAX(IF($D$11:$D$34=D33, $S$11:$S$34))</f>
        <v>0</v>
      </c>
      <c r="Q33" s="1106">
        <f>IF((E33="B"),(MAX($Q$7:Q32)+1),0)</f>
        <v>0</v>
      </c>
      <c r="R33" s="1106">
        <f>IF((AG33&lt;0),(MAX($R$9:$R32)+1),0)</f>
        <v>0</v>
      </c>
      <c r="S33" s="1086">
        <f>IF((M33=""),0,COUNTIF($M$9:M33,M33))</f>
        <v>0</v>
      </c>
      <c r="T33" s="1086" t="str">
        <f>IFERROR(MATCH(M33,M_SYMBOL[SYMBOL],0),"")</f>
        <v/>
      </c>
      <c r="U33" s="1070" t="str">
        <f>IFERROR(MATCH(E33,M_TRX_TYPE[TYPE],0),"")</f>
        <v/>
      </c>
      <c r="V33" s="1107">
        <f t="shared" si="17"/>
        <v>0</v>
      </c>
      <c r="W33" s="1095">
        <f t="shared" si="18"/>
        <v>0</v>
      </c>
      <c r="X33" s="1108">
        <f t="shared" si="19"/>
        <v>0</v>
      </c>
      <c r="Y33" s="1109">
        <f>IF(S33=1,0,IF(M33="",0,IF(S33&gt;1,(SUMIF($M$9:Z32,M33,$Z$9:Z32))+(SUMIF($M$9:Z32,M33,$AA$9:AA32)),0)))</f>
        <v>0</v>
      </c>
      <c r="Z33" s="1110">
        <f t="shared" si="20"/>
        <v>0</v>
      </c>
      <c r="AA33" s="1111">
        <f t="shared" si="21"/>
        <v>0</v>
      </c>
      <c r="AB33" s="1112">
        <f>DE_BKUS[[#This Row],[PREVIOUS
UNITS]]+DE_BKUS[[#This Row],[SHARES
BOUGHT]]+DE_BKUS[[#This Row],[SHARES 
SOLD]]</f>
        <v>0</v>
      </c>
      <c r="AC33" s="1113">
        <f>IF(S33=1,0,IF(M33="",0,IF(S33&gt;1,SUMIF($M$9:AE32,M33,$AE$9:AE32)+SUMIF($M$9:AE32,M33,$AD$9:AD32),0)))</f>
        <v>0</v>
      </c>
      <c r="AD33" s="1114">
        <f t="shared" si="22"/>
        <v>0</v>
      </c>
      <c r="AE33" s="1115">
        <f t="shared" si="23"/>
        <v>0</v>
      </c>
      <c r="AF33" s="1116">
        <f t="shared" si="24"/>
        <v>0</v>
      </c>
      <c r="AG33" s="1117">
        <f t="shared" si="25"/>
        <v>0</v>
      </c>
      <c r="AH33" s="1115">
        <f>DE_BKUS[[#This Row],[PROCEEDS]]-DE_BKUS[[#This Row],[SOLD]]</f>
        <v>0</v>
      </c>
      <c r="AI33" s="1118" t="str">
        <f t="shared" si="29"/>
        <v/>
      </c>
      <c r="AJ33" s="1119" t="str">
        <f>IF(E33="S", DATEDIF(_xlfn.MAXIFS($F$11:F33, $D$11:D33, D33, $AB$11:AB33, "&gt;0"), F33, "d"), "")</f>
        <v/>
      </c>
      <c r="AK33" s="1118" t="str">
        <f>IF(O33="H",DE_BKUS[[#This Row],[DATE]],"")</f>
        <v/>
      </c>
      <c r="AL33" s="1120" t="str">
        <f t="shared" si="12"/>
        <v/>
      </c>
      <c r="AM33" s="1121">
        <f t="shared" si="13"/>
        <v>0</v>
      </c>
      <c r="AN33" s="1122">
        <v>0</v>
      </c>
      <c r="AO33" s="1122">
        <f>IFERROR(DE_BKUS[[#This Row],[MKT]]*DE_BKUS[[#This Row],[HOLDINGS]],0)</f>
        <v>0</v>
      </c>
      <c r="AP33" s="1123" t="str">
        <f t="shared" si="26"/>
        <v xml:space="preserve"> </v>
      </c>
      <c r="AQ33" s="159" t="s">
        <v>0</v>
      </c>
      <c r="AR33" s="159"/>
      <c r="AT33" s="1086"/>
      <c r="AU33" s="1082" t="s">
        <v>28</v>
      </c>
      <c r="AV33" s="1082" t="s">
        <v>0</v>
      </c>
      <c r="AW33" s="1087"/>
      <c r="AX33" s="1073"/>
      <c r="AY33" s="1074"/>
      <c r="AZ33" s="1074"/>
      <c r="BA33" s="1081"/>
      <c r="BB33" s="1081">
        <f ca="1">BC32+BC31-AX32-AW31</f>
        <v>-104189.00604200002</v>
      </c>
      <c r="BC33" s="1073"/>
    </row>
    <row r="34" spans="1:57" s="179" customFormat="1" ht="15.75" customHeight="1" thickBot="1">
      <c r="A34" s="177"/>
      <c r="B34" s="624">
        <v>123</v>
      </c>
      <c r="C34" s="629" t="str">
        <f t="shared" si="27"/>
        <v>BK-US</v>
      </c>
      <c r="D34" s="630" t="s">
        <v>0</v>
      </c>
      <c r="E34" s="630" t="s">
        <v>0</v>
      </c>
      <c r="F34" s="631" t="s">
        <v>0</v>
      </c>
      <c r="G34" s="1097" t="str">
        <f t="shared" si="15"/>
        <v xml:space="preserve"> </v>
      </c>
      <c r="H34" s="632">
        <v>0</v>
      </c>
      <c r="I34" s="633"/>
      <c r="J34" s="634">
        <v>0</v>
      </c>
      <c r="K34" s="1174">
        <f t="shared" si="45"/>
        <v>-22252.449999999997</v>
      </c>
      <c r="L34" s="1101" t="str" cm="1">
        <f t="array" ref="L34">IFERROR(INDEX(M_TRX_TYPE[#Data], U34, MATCH($C$6,M_TRX_TYPE[#Headers], 0)), "")</f>
        <v/>
      </c>
      <c r="M34" s="1102" t="str">
        <f t="shared" ref="M34" si="46">IF(OR(E34="O",E34="B",E34="S"),D34,"")</f>
        <v/>
      </c>
      <c r="N34" s="1124">
        <f>IF((O34="H"),(MAX($N$9:N33)+1),0)</f>
        <v>0</v>
      </c>
      <c r="O34" s="1204" t="str">
        <f t="shared" si="2"/>
        <v/>
      </c>
      <c r="P34" s="1105" cm="1">
        <f t="array" ref="P34">MAX(IF($D$11:$D$34=D34, $S$11:$S$34))</f>
        <v>0</v>
      </c>
      <c r="Q34" s="1106">
        <f>IF((E34="B"),(MAX($Q$7:Q33)+1),0)</f>
        <v>0</v>
      </c>
      <c r="R34" s="1106">
        <f>IF((AG34&lt;0),(MAX($R$9:$R33)+1),0)</f>
        <v>0</v>
      </c>
      <c r="S34" s="1086">
        <f>IF((M34=""),0,COUNTIF($M$9:M34,M34))</f>
        <v>0</v>
      </c>
      <c r="T34" s="1086" t="str">
        <f>IFERROR(MATCH(M34,M_SYMBOL[SYMBOL],0),"")</f>
        <v/>
      </c>
      <c r="U34" s="1070" t="str">
        <f>IFERROR(MATCH(E34,M_TRX_TYPE[TYPE],0),"")</f>
        <v/>
      </c>
      <c r="V34" s="1107">
        <f t="shared" ref="V34" si="47">IF((E34="O"),H34,0)</f>
        <v>0</v>
      </c>
      <c r="W34" s="1095">
        <f t="shared" ref="W34" si="48">IF((E34="O"),J34,IF(E34="OC",J34,0))</f>
        <v>0</v>
      </c>
      <c r="X34" s="1108">
        <f t="shared" ref="X34" si="49">IF(OR(E34="O",E34="OC"),0,J34*-1)</f>
        <v>0</v>
      </c>
      <c r="Y34" s="1109">
        <f>IF(S34=1,0,IF(M34="",0,IF(S34&gt;1,(SUMIF($M$9:Z33,M34,$Z$9:Z33))+(SUMIF($M$9:Z33,M34,$AA$9:AA33)),0)))</f>
        <v>0</v>
      </c>
      <c r="Z34" s="1110">
        <f t="shared" ref="Z34" si="50">IF(E34="B",H34,IF(E34="O",H34,0))</f>
        <v>0</v>
      </c>
      <c r="AA34" s="1111">
        <f t="shared" ref="AA34" si="51">IF(E34="S",H34,0)</f>
        <v>0</v>
      </c>
      <c r="AB34" s="1112">
        <f>DE_BKUS[[#This Row],[PREVIOUS
UNITS]]+DE_BKUS[[#This Row],[SHARES
BOUGHT]]+DE_BKUS[[#This Row],[SHARES 
SOLD]]</f>
        <v>0</v>
      </c>
      <c r="AC34" s="1113">
        <f>IF(S34=1,0,IF(M34="",0,IF(S34&gt;1,SUMIF($M$9:AE33,M34,$AE$9:AE33)+SUMIF($M$9:AE33,M34,$AD$9:AD33),0)))</f>
        <v>0</v>
      </c>
      <c r="AD34" s="1114">
        <f t="shared" ref="AD34" si="52">IF(M34="",0,IF(OR(E34="B",E34="O"),J34*-1,0))</f>
        <v>0</v>
      </c>
      <c r="AE34" s="1115">
        <f t="shared" ref="AE34" si="53">IF(E34="S",(AC34/Y34)*H34,0)</f>
        <v>0</v>
      </c>
      <c r="AF34" s="1116">
        <f t="shared" ref="AF34" si="54">AC34+AD34+AE34</f>
        <v>0</v>
      </c>
      <c r="AG34" s="1117">
        <f t="shared" ref="AG34" si="55">IF(M34="",0,IF(OR(E34="S"),J34*-1,0))</f>
        <v>0</v>
      </c>
      <c r="AH34" s="1115">
        <f>DE_BKUS[[#This Row],[PROCEEDS]]-DE_BKUS[[#This Row],[SOLD]]</f>
        <v>0</v>
      </c>
      <c r="AI34" s="1118" t="e">
        <f>IF(AB34=0, IF(AND(OR(E34="B", E34="O"), D34=#REF!), F34, ""), IF(#REF!="", F34, IF(D34=#REF!,#REF!, F34)))</f>
        <v>#REF!</v>
      </c>
      <c r="AJ34" s="1119" t="str">
        <f>IF(E34="S", DATEDIF(_xlfn.MAXIFS($F$11:F34, $D$11:D34, D34, $AB$11:AB34, "&gt;0"), F34, "d"), "")</f>
        <v/>
      </c>
      <c r="AK34" s="1118" t="str">
        <f>IF(O34="H",DE_BKUS[[#This Row],[DATE]],"")</f>
        <v/>
      </c>
      <c r="AL34" s="1125" t="str">
        <f t="shared" si="12"/>
        <v/>
      </c>
      <c r="AM34" s="1121">
        <f t="shared" si="13"/>
        <v>0</v>
      </c>
      <c r="AN34" s="1126">
        <v>0</v>
      </c>
      <c r="AO34" s="1122">
        <f>IFERROR(DE_BKUS[[#This Row],[MKT]]*DE_BKUS[[#This Row],[HOLDINGS]],0)</f>
        <v>0</v>
      </c>
      <c r="AP34" s="1123" t="str">
        <f t="shared" ref="AP34" si="56">IF(E34="D",J34," ")</f>
        <v xml:space="preserve"> </v>
      </c>
      <c r="AQ34" s="159" t="s">
        <v>0</v>
      </c>
      <c r="AR34" s="159"/>
      <c r="AT34" s="1082" t="s">
        <v>0</v>
      </c>
      <c r="AU34" s="1082"/>
      <c r="AV34" s="1082"/>
      <c r="AW34" s="1087"/>
      <c r="AX34" s="1073"/>
      <c r="AY34" s="1074"/>
      <c r="AZ34" s="1074"/>
      <c r="BA34" s="1081"/>
      <c r="BB34" s="1081" t="s">
        <v>0</v>
      </c>
      <c r="BC34" s="1073" t="s">
        <v>0</v>
      </c>
      <c r="BE34" s="628"/>
    </row>
    <row r="35" spans="1:57" s="179" customFormat="1" ht="15.75" customHeight="1" thickTop="1" thickBot="1">
      <c r="A35" s="177"/>
      <c r="B35" s="1196" t="s">
        <v>0</v>
      </c>
      <c r="C35" s="1197" t="s">
        <v>0</v>
      </c>
      <c r="D35" s="1133" t="s">
        <v>228</v>
      </c>
      <c r="E35" s="1133">
        <v>999</v>
      </c>
      <c r="F35" s="1198" t="s">
        <v>0</v>
      </c>
      <c r="G35" s="1096" t="s">
        <v>0</v>
      </c>
      <c r="H35" s="1138" t="s">
        <v>0</v>
      </c>
      <c r="I35" s="1139"/>
      <c r="J35" s="1140" t="s">
        <v>0</v>
      </c>
      <c r="K35" s="1099">
        <f>K34</f>
        <v>-22252.449999999997</v>
      </c>
      <c r="L35" s="1178" t="s">
        <v>0</v>
      </c>
      <c r="M35" s="1127" t="s">
        <v>0</v>
      </c>
      <c r="N35" s="1103" t="s">
        <v>0</v>
      </c>
      <c r="O35" s="1127" t="s">
        <v>0</v>
      </c>
      <c r="P35" s="1127"/>
      <c r="Q35" s="1127"/>
      <c r="R35" s="1127"/>
      <c r="S35" s="1127"/>
      <c r="T35" s="1127" t="str">
        <f>IFERROR(MATCH(M35,M_SYMBOL[SYMBOL],0),"")</f>
        <v/>
      </c>
      <c r="U35" s="1127"/>
      <c r="V35" s="1102" t="s">
        <v>0</v>
      </c>
      <c r="W35" s="1128"/>
      <c r="X35" s="1129"/>
      <c r="Y35" s="1127"/>
      <c r="Z35" s="1127"/>
      <c r="AA35" s="1127"/>
      <c r="AB35" s="1127"/>
      <c r="AC35" s="1127"/>
      <c r="AD35" s="1127">
        <f>SUBTOTAL(109,AD11:AD34)</f>
        <v>169173.1</v>
      </c>
      <c r="AE35" s="1130">
        <f ca="1">SUBTOTAL(109,AE11:AE34)</f>
        <v>-54736.17</v>
      </c>
      <c r="AF35" s="1131" t="s">
        <v>0</v>
      </c>
      <c r="AG35" s="1131">
        <f>SUBTOTAL(109,AG11:AG34)</f>
        <v>-52510.859999999993</v>
      </c>
      <c r="AH35" s="1131">
        <f ca="1">SUBTOTAL(109,AH11:AH34)</f>
        <v>2225.3099999999995</v>
      </c>
      <c r="AI35" s="1127"/>
      <c r="AJ35" s="1127"/>
      <c r="AK35" s="1132" t="str">
        <f>IF(O35="H",DE_BKUS[[#This Row],[DATE]],"")</f>
        <v/>
      </c>
      <c r="AL35" s="1133">
        <f ca="1">COUNT(AL11:AL34)</f>
        <v>7</v>
      </c>
      <c r="AM35" s="1130">
        <f ca="1">SUBTOTAL(109,AM11:AM34)</f>
        <v>114436.93000000001</v>
      </c>
      <c r="AN35" s="1122" t="s">
        <v>0</v>
      </c>
      <c r="AO35" s="1134"/>
      <c r="AP35" s="1134">
        <f>SUBTOTAL(109,AP11:AP34)</f>
        <v>0</v>
      </c>
      <c r="AQ35" s="159" t="s">
        <v>0</v>
      </c>
      <c r="AR35" s="159"/>
      <c r="AT35" s="1082" t="s">
        <v>786</v>
      </c>
      <c r="AU35" s="1086"/>
      <c r="AV35" s="1082"/>
      <c r="AW35" s="1078"/>
      <c r="AX35" s="1073"/>
      <c r="AY35" s="1074"/>
      <c r="AZ35" s="1091">
        <f ca="1">-AZ11+AZ32</f>
        <v>-25970.849999999991</v>
      </c>
      <c r="BA35" s="1081"/>
      <c r="BB35" s="1092">
        <f ca="1">BB33-BB12</f>
        <v>-154110.30929200002</v>
      </c>
      <c r="BC35" s="1073"/>
    </row>
    <row r="36" spans="1:57" s="179" customFormat="1" ht="15.75" customHeight="1" thickTop="1">
      <c r="A36" s="177"/>
      <c r="B36" s="1179"/>
      <c r="C36" s="1197" t="s">
        <v>0</v>
      </c>
      <c r="D36" s="1133" t="s">
        <v>0</v>
      </c>
      <c r="E36" s="1133" t="s">
        <v>0</v>
      </c>
      <c r="F36" s="1198" t="s">
        <v>0</v>
      </c>
      <c r="G36" s="1096" t="s">
        <v>0</v>
      </c>
      <c r="H36" s="1138" t="s">
        <v>0</v>
      </c>
      <c r="I36" s="1139"/>
      <c r="J36" s="1140" t="s">
        <v>0</v>
      </c>
      <c r="K36" s="1133"/>
      <c r="L36" s="1100" t="str" cm="1">
        <f t="array" ref="L36">IFERROR(INDEX(M_TRX_TYPE[#Data], U36, MATCH($C$6,M_TRX_TYPE[#Headers], 0)), "")</f>
        <v/>
      </c>
      <c r="M36" s="1133"/>
      <c r="N36" s="1133" t="s">
        <v>0</v>
      </c>
      <c r="O36" s="1133"/>
      <c r="P36" s="1133"/>
      <c r="Q36" s="1133"/>
      <c r="R36" s="1133"/>
      <c r="S36" s="1133"/>
      <c r="T36" s="1133" t="str">
        <f>IFERROR(MATCH(M36,M_SYMBOL[SYMBOL],0),"")</f>
        <v/>
      </c>
      <c r="U36" s="1133" t="s">
        <v>28</v>
      </c>
      <c r="V36" s="1179"/>
      <c r="W36" s="1079"/>
      <c r="X36" s="1180"/>
      <c r="Y36" s="1190"/>
      <c r="Z36" s="1190"/>
      <c r="AA36" s="1191"/>
      <c r="AB36" s="1133"/>
      <c r="AC36" s="1181"/>
      <c r="AD36" s="1181"/>
      <c r="AE36" s="1075">
        <f t="shared" ref="AE36:AE49" si="57">IF(E36="S",(AC36/Y36)*H36,0)</f>
        <v>0</v>
      </c>
      <c r="AF36" s="1075"/>
      <c r="AG36" s="1133"/>
      <c r="AH36" s="1075"/>
      <c r="AI36" s="1133"/>
      <c r="AJ36" s="1079"/>
      <c r="AK36" s="1079" t="str">
        <f>IF(O36="H",DE_BKUS[[#This Row],[DATE]],"")</f>
        <v/>
      </c>
      <c r="AL36" s="1182"/>
      <c r="AM36" s="1183"/>
      <c r="AN36" s="1122" t="s">
        <v>0</v>
      </c>
      <c r="AO36" s="1181"/>
      <c r="AP36" s="1192"/>
      <c r="AQ36" s="159" t="s">
        <v>0</v>
      </c>
      <c r="AR36" s="159"/>
      <c r="AT36" s="1086"/>
      <c r="AU36" s="1093"/>
      <c r="AV36" s="1071"/>
      <c r="AW36" s="1094"/>
      <c r="AX36" s="1073"/>
      <c r="AY36" s="1074"/>
      <c r="AZ36" s="1094"/>
      <c r="BA36" s="1081"/>
      <c r="BB36" s="1081"/>
      <c r="BC36" s="1073"/>
    </row>
    <row r="37" spans="1:57" s="179" customFormat="1" ht="15.75" customHeight="1">
      <c r="A37" s="177"/>
      <c r="B37" s="1199">
        <v>2000</v>
      </c>
      <c r="C37" s="1197" t="str">
        <f t="shared" ref="C37:C44" si="58">$C$6</f>
        <v>BK-US</v>
      </c>
      <c r="D37" s="1135" t="s">
        <v>306</v>
      </c>
      <c r="E37" s="1086" t="s">
        <v>231</v>
      </c>
      <c r="F37" s="1137">
        <v>46022</v>
      </c>
      <c r="G37" s="1096" t="s">
        <v>0</v>
      </c>
      <c r="H37" s="1138" t="s">
        <v>0</v>
      </c>
      <c r="I37" s="1139"/>
      <c r="J37" s="1140" t="s">
        <v>0</v>
      </c>
      <c r="K37" s="1141"/>
      <c r="L37" s="1100" t="str" cm="1">
        <f t="array" ref="L37">IFERROR(INDEX(M_TRX_TYPE[#Data], U37, MATCH($C$6,M_TRX_TYPE[#Headers], 0)), "")</f>
        <v>1121 Broker US Cash</v>
      </c>
      <c r="M37" s="1142" t="s">
        <v>0</v>
      </c>
      <c r="N37" s="1103" t="s">
        <v>0</v>
      </c>
      <c r="O37" s="1142" t="s">
        <v>0</v>
      </c>
      <c r="P37" s="1135" t="s">
        <v>0</v>
      </c>
      <c r="Q37" s="1135" t="s">
        <v>0</v>
      </c>
      <c r="R37" s="1135"/>
      <c r="S37" s="1135" t="s">
        <v>0</v>
      </c>
      <c r="T37" s="1135" t="str">
        <f>IFERROR(MATCH(M37,M_SYMBOL[SYMBOL],0),"")</f>
        <v/>
      </c>
      <c r="U37" s="1070">
        <f>IFERROR(MATCH(E37,M_TRX_TYPE[TYPE],0),"")</f>
        <v>14</v>
      </c>
      <c r="V37" s="1102" t="s">
        <v>0</v>
      </c>
      <c r="W37" s="1128" t="s">
        <v>76</v>
      </c>
      <c r="X37" s="1143">
        <f>SUMIF($X$11:X34,"&gt;=0")*-1</f>
        <v>-74940.06</v>
      </c>
      <c r="Y37" s="1128"/>
      <c r="Z37" s="1128"/>
      <c r="AA37" s="1193"/>
      <c r="AB37" s="1128"/>
      <c r="AC37" s="1184"/>
      <c r="AD37" s="1184"/>
      <c r="AE37" s="1128">
        <f t="shared" si="57"/>
        <v>0</v>
      </c>
      <c r="AF37" s="1128"/>
      <c r="AG37" s="1128"/>
      <c r="AH37" s="1128"/>
      <c r="AI37" s="1128"/>
      <c r="AJ37" s="1128"/>
      <c r="AK37" s="1128" t="str">
        <f>IF(O37="H",DE_BKUS[[#This Row],[DATE]],"")</f>
        <v/>
      </c>
      <c r="AL37" s="1185"/>
      <c r="AM37" s="1186"/>
      <c r="AN37" s="1122" t="s">
        <v>0</v>
      </c>
      <c r="AO37" s="1187"/>
      <c r="AP37" s="1194"/>
      <c r="AQ37" s="159" t="s">
        <v>0</v>
      </c>
      <c r="AR37" s="159"/>
      <c r="AT37" s="1086"/>
      <c r="AU37" s="1093"/>
      <c r="AV37" s="1071"/>
      <c r="AW37" s="1094"/>
      <c r="AX37" s="1073"/>
      <c r="AY37" s="1074"/>
      <c r="AZ37" s="1094"/>
      <c r="BA37" s="1081"/>
      <c r="BB37" s="1081"/>
      <c r="BC37" s="1073"/>
    </row>
    <row r="38" spans="1:57" s="179" customFormat="1" ht="15.75" customHeight="1">
      <c r="A38" s="177"/>
      <c r="B38" s="1199">
        <v>2001</v>
      </c>
      <c r="C38" s="1197" t="str">
        <f t="shared" si="58"/>
        <v>BK-US</v>
      </c>
      <c r="D38" s="1135" t="s">
        <v>305</v>
      </c>
      <c r="E38" s="1086" t="s">
        <v>232</v>
      </c>
      <c r="F38" s="1137">
        <v>46022</v>
      </c>
      <c r="G38" s="1096" t="s">
        <v>0</v>
      </c>
      <c r="H38" s="1138" t="s">
        <v>0</v>
      </c>
      <c r="I38" s="1139"/>
      <c r="J38" s="1140" t="s">
        <v>0</v>
      </c>
      <c r="K38" s="1141"/>
      <c r="L38" s="1100" t="str" cm="1">
        <f t="array" ref="L38">IFERROR(INDEX(M_TRX_TYPE[#Data], U38, MATCH($C$6,M_TRX_TYPE[#Headers], 0)), "")</f>
        <v>1121 Broker US Cash</v>
      </c>
      <c r="M38" s="1142" t="s">
        <v>0</v>
      </c>
      <c r="N38" s="1103" t="s">
        <v>0</v>
      </c>
      <c r="O38" s="1142" t="s">
        <v>0</v>
      </c>
      <c r="P38" s="1135" t="s">
        <v>0</v>
      </c>
      <c r="Q38" s="1135" t="s">
        <v>0</v>
      </c>
      <c r="R38" s="1135"/>
      <c r="S38" s="1135" t="s">
        <v>0</v>
      </c>
      <c r="T38" s="1135" t="str">
        <f>IFERROR(MATCH(M38,M_SYMBOL[SYMBOL],0),"")</f>
        <v/>
      </c>
      <c r="U38" s="1070">
        <f>IFERROR(MATCH(E38,M_TRX_TYPE[TYPE],0),"")</f>
        <v>15</v>
      </c>
      <c r="V38" s="1102" t="s">
        <v>0</v>
      </c>
      <c r="W38" s="1128" t="s">
        <v>77</v>
      </c>
      <c r="X38" s="1143">
        <f>SUMIF($X$11:X34,"&lt;=0")*-1</f>
        <v>52510.859999999993</v>
      </c>
      <c r="Y38" s="1128"/>
      <c r="Z38" s="1128"/>
      <c r="AA38" s="1193"/>
      <c r="AB38" s="1128"/>
      <c r="AC38" s="1184"/>
      <c r="AD38" s="1184"/>
      <c r="AE38" s="1128">
        <f t="shared" si="57"/>
        <v>0</v>
      </c>
      <c r="AF38" s="1128"/>
      <c r="AG38" s="1128"/>
      <c r="AH38" s="1128"/>
      <c r="AI38" s="1128"/>
      <c r="AJ38" s="1128" t="s">
        <v>0</v>
      </c>
      <c r="AK38" s="1128" t="str">
        <f>IF(O38="H",DE_BKUS[[#This Row],[DATE]],"")</f>
        <v/>
      </c>
      <c r="AL38" s="1185"/>
      <c r="AM38" s="1186"/>
      <c r="AN38" s="1122" t="s">
        <v>0</v>
      </c>
      <c r="AO38" s="1187"/>
      <c r="AP38" s="1194"/>
      <c r="AQ38" s="159" t="s">
        <v>0</v>
      </c>
      <c r="AR38" s="159"/>
      <c r="AU38" s="410"/>
      <c r="AV38" s="620"/>
      <c r="AW38" s="595"/>
      <c r="AX38" s="185"/>
      <c r="AY38" s="621"/>
      <c r="AZ38" s="595"/>
      <c r="BA38" s="623"/>
      <c r="BB38" s="623"/>
      <c r="BC38" s="185"/>
    </row>
    <row r="39" spans="1:57" s="179" customFormat="1" ht="15.75" customHeight="1">
      <c r="A39" s="177"/>
      <c r="B39" s="1199">
        <v>2002</v>
      </c>
      <c r="C39" s="1197" t="str">
        <f t="shared" si="58"/>
        <v>BK-US</v>
      </c>
      <c r="D39" s="1135" t="s">
        <v>307</v>
      </c>
      <c r="E39" s="1086" t="s">
        <v>239</v>
      </c>
      <c r="F39" s="1137">
        <v>46022</v>
      </c>
      <c r="G39" s="1096" t="s">
        <v>0</v>
      </c>
      <c r="H39" s="1138" t="s">
        <v>0</v>
      </c>
      <c r="I39" s="1139"/>
      <c r="J39" s="1140" t="s">
        <v>0</v>
      </c>
      <c r="K39" s="1141"/>
      <c r="L39" s="1100" t="str" cm="1">
        <f t="array" ref="L39">IFERROR(INDEX(M_TRX_TYPE[#Data], U39, MATCH($C$6,M_TRX_TYPE[#Headers], 0)), "")</f>
        <v>4171 Cost of US Securities Sold</v>
      </c>
      <c r="M39" s="1142" t="s">
        <v>0</v>
      </c>
      <c r="N39" s="1142"/>
      <c r="O39" s="1142" t="s">
        <v>0</v>
      </c>
      <c r="P39" s="1135" t="s">
        <v>0</v>
      </c>
      <c r="Q39" s="1135" t="s">
        <v>0</v>
      </c>
      <c r="R39" s="1135"/>
      <c r="S39" s="1135" t="s">
        <v>0</v>
      </c>
      <c r="T39" s="1135" t="str">
        <f>IFERROR(MATCH(M39,M_SYMBOL[SYMBOL],0),"")</f>
        <v/>
      </c>
      <c r="U39" s="1070">
        <f>IFERROR(MATCH(E39,M_TRX_TYPE[TYPE],0),"")</f>
        <v>18</v>
      </c>
      <c r="V39" s="1102" t="s">
        <v>0</v>
      </c>
      <c r="W39" s="1144" t="s">
        <v>239</v>
      </c>
      <c r="X39" s="1108">
        <f ca="1">SUM(AE11:AE34)*-1</f>
        <v>54736.17</v>
      </c>
      <c r="Y39" s="1128"/>
      <c r="Z39" s="1128"/>
      <c r="AA39" s="1193"/>
      <c r="AB39" s="1128"/>
      <c r="AC39" s="1184"/>
      <c r="AD39" s="1184"/>
      <c r="AE39" s="1128">
        <f t="shared" si="57"/>
        <v>0</v>
      </c>
      <c r="AF39" s="1128"/>
      <c r="AG39" s="1128"/>
      <c r="AH39" s="1128"/>
      <c r="AI39" s="1128"/>
      <c r="AJ39" s="1128"/>
      <c r="AK39" s="1128" t="str">
        <f>IF(O39="H",DE_BKUS[[#This Row],[DATE]],"")</f>
        <v/>
      </c>
      <c r="AL39" s="1185"/>
      <c r="AM39" s="1186"/>
      <c r="AN39" s="1122" t="s">
        <v>0</v>
      </c>
      <c r="AO39" s="1187"/>
      <c r="AP39" s="1194"/>
      <c r="AQ39" s="159" t="s">
        <v>0</v>
      </c>
      <c r="AR39" s="159"/>
      <c r="AV39" s="625"/>
      <c r="AW39" s="595"/>
      <c r="AX39" s="185"/>
      <c r="AY39" s="621"/>
      <c r="AZ39" s="621"/>
      <c r="BA39" s="623"/>
      <c r="BB39" s="623"/>
      <c r="BC39" s="185"/>
    </row>
    <row r="40" spans="1:57" s="179" customFormat="1" ht="15.75" customHeight="1">
      <c r="A40" s="177"/>
      <c r="B40" s="1199">
        <v>2003</v>
      </c>
      <c r="C40" s="1197" t="str">
        <f t="shared" si="58"/>
        <v>BK-US</v>
      </c>
      <c r="D40" s="1135" t="s">
        <v>308</v>
      </c>
      <c r="E40" s="1086" t="s">
        <v>26</v>
      </c>
      <c r="F40" s="1137">
        <v>46022</v>
      </c>
      <c r="G40" s="1145" t="str">
        <f t="shared" ref="G40:G43" si="59">IF(H40&lt;&gt;0,J40/H40*-1," ")</f>
        <v xml:space="preserve"> </v>
      </c>
      <c r="H40" s="1141"/>
      <c r="I40" s="1141"/>
      <c r="J40" s="1141"/>
      <c r="K40" s="1141"/>
      <c r="L40" s="1100" t="str" cm="1">
        <f t="array" ref="L40">IFERROR(INDEX(M_TRX_TYPE[#Data], U40, MATCH($C$6,M_TRX_TYPE[#Headers], 0)), "")</f>
        <v>1132 Broker US Securities</v>
      </c>
      <c r="M40" s="1142" t="s">
        <v>0</v>
      </c>
      <c r="N40" s="1142"/>
      <c r="O40" s="1142" t="s">
        <v>0</v>
      </c>
      <c r="P40" s="1135" t="s">
        <v>0</v>
      </c>
      <c r="Q40" s="1135" t="s">
        <v>0</v>
      </c>
      <c r="R40" s="1135"/>
      <c r="S40" s="1135" t="s">
        <v>0</v>
      </c>
      <c r="T40" s="1135" t="str">
        <f>IFERROR(MATCH(M40,M_SYMBOL[SYMBOL],0),"")</f>
        <v/>
      </c>
      <c r="U40" s="1070">
        <f>IFERROR(MATCH(E40,M_TRX_TYPE[TYPE],0),"")</f>
        <v>5</v>
      </c>
      <c r="V40" s="1102" t="s">
        <v>0</v>
      </c>
      <c r="W40" s="1144" t="s">
        <v>26</v>
      </c>
      <c r="X40" s="1108">
        <f ca="1">SUM(AE11:AE34)</f>
        <v>-54736.17</v>
      </c>
      <c r="Y40" s="1128"/>
      <c r="Z40" s="1128"/>
      <c r="AA40" s="1193"/>
      <c r="AB40" s="1128"/>
      <c r="AC40" s="1184"/>
      <c r="AD40" s="1184"/>
      <c r="AE40" s="1128">
        <f t="shared" si="57"/>
        <v>0</v>
      </c>
      <c r="AF40" s="1128"/>
      <c r="AG40" s="1128"/>
      <c r="AH40" s="1128"/>
      <c r="AI40" s="1128"/>
      <c r="AJ40" s="1128"/>
      <c r="AK40" s="1128" t="str">
        <f>IF(O40="H",DE_BKUS[[#This Row],[DATE]],"")</f>
        <v/>
      </c>
      <c r="AL40" s="1185"/>
      <c r="AM40" s="1186"/>
      <c r="AN40" s="1122" t="s">
        <v>0</v>
      </c>
      <c r="AO40" s="1187"/>
      <c r="AP40" s="1194"/>
      <c r="AQ40" s="159" t="s">
        <v>0</v>
      </c>
      <c r="AR40" s="159"/>
      <c r="AV40" s="625"/>
      <c r="AW40" s="595"/>
      <c r="AX40" s="185"/>
      <c r="AY40" s="621"/>
      <c r="AZ40" s="621"/>
      <c r="BA40" s="623"/>
      <c r="BB40" s="623"/>
      <c r="BC40" s="185"/>
    </row>
    <row r="41" spans="1:57" s="179" customFormat="1" ht="15.75" customHeight="1">
      <c r="A41" s="177"/>
      <c r="B41" s="1199" t="s">
        <v>0</v>
      </c>
      <c r="C41" s="1136" t="s">
        <v>0</v>
      </c>
      <c r="D41" s="1135"/>
      <c r="E41" s="1135" t="s">
        <v>0</v>
      </c>
      <c r="F41" s="1135"/>
      <c r="G41" s="1142" t="str">
        <f t="shared" si="59"/>
        <v xml:space="preserve"> </v>
      </c>
      <c r="H41" s="1135"/>
      <c r="I41" s="1135"/>
      <c r="J41" s="1135"/>
      <c r="K41" s="1135"/>
      <c r="L41" s="1100" t="str" cm="1">
        <f t="array" ref="L41">IFERROR(INDEX(M_TRX_TYPE[#Data], U41, MATCH($C$6,M_TRX_TYPE[#Headers], 0)), "")</f>
        <v/>
      </c>
      <c r="M41" s="1135" t="s">
        <v>0</v>
      </c>
      <c r="N41" s="1135"/>
      <c r="O41" s="1103" t="s">
        <v>0</v>
      </c>
      <c r="P41" s="1135" t="s">
        <v>0</v>
      </c>
      <c r="Q41" s="1135" t="s">
        <v>0</v>
      </c>
      <c r="R41" s="1135" t="s">
        <v>0</v>
      </c>
      <c r="S41" s="1135" t="s">
        <v>0</v>
      </c>
      <c r="T41" s="1135" t="str">
        <f>IFERROR(MATCH(M41,M_SYMBOL[SYMBOL],0),"")</f>
        <v/>
      </c>
      <c r="U41" s="1135" t="s">
        <v>28</v>
      </c>
      <c r="V41" s="1102" t="s">
        <v>0</v>
      </c>
      <c r="W41" s="1128" t="s">
        <v>0</v>
      </c>
      <c r="X41" s="1129"/>
      <c r="Y41" s="1128"/>
      <c r="Z41" s="1128"/>
      <c r="AA41" s="1193"/>
      <c r="AB41" s="1128"/>
      <c r="AC41" s="1184"/>
      <c r="AD41" s="1184"/>
      <c r="AE41" s="1128">
        <f t="shared" si="57"/>
        <v>0</v>
      </c>
      <c r="AF41" s="1128"/>
      <c r="AG41" s="1128"/>
      <c r="AH41" s="1128"/>
      <c r="AI41" s="1128"/>
      <c r="AJ41" s="1128"/>
      <c r="AK41" s="1128" t="str">
        <f>IF(O41="H",DE_BKUS[[#This Row],[DATE]],"")</f>
        <v/>
      </c>
      <c r="AL41" s="1185"/>
      <c r="AM41" s="1188"/>
      <c r="AN41" s="1122" t="s">
        <v>0</v>
      </c>
      <c r="AO41" s="1187"/>
      <c r="AP41" s="1194"/>
      <c r="AQ41" s="159" t="s">
        <v>0</v>
      </c>
      <c r="AR41" s="159"/>
      <c r="AU41" s="179" t="s">
        <v>28</v>
      </c>
      <c r="AV41" s="625" t="s">
        <v>0</v>
      </c>
      <c r="AW41" s="627"/>
      <c r="AX41" s="185"/>
      <c r="AY41" s="621"/>
      <c r="AZ41" s="621"/>
      <c r="BA41" s="623"/>
      <c r="BB41" s="623"/>
      <c r="BC41" s="185" t="s">
        <v>0</v>
      </c>
    </row>
    <row r="42" spans="1:57" s="179" customFormat="1" ht="15.75" customHeight="1">
      <c r="A42" s="177"/>
      <c r="B42" s="1199">
        <v>2004</v>
      </c>
      <c r="C42" s="1197" t="str">
        <f t="shared" si="58"/>
        <v>BK-US</v>
      </c>
      <c r="D42" s="1135" t="s">
        <v>838</v>
      </c>
      <c r="E42" s="1128" t="s">
        <v>229</v>
      </c>
      <c r="F42" s="1137">
        <v>45658</v>
      </c>
      <c r="G42" s="1142" t="str">
        <f t="shared" si="59"/>
        <v xml:space="preserve"> </v>
      </c>
      <c r="H42" s="1135"/>
      <c r="I42" s="1135"/>
      <c r="J42" s="1135"/>
      <c r="K42" s="1135"/>
      <c r="L42" s="1100" t="str" cm="1">
        <f t="array" ref="L42">IFERROR(INDEX(M_TRX_TYPE[#Data], U42, MATCH($C$6,M_TRX_TYPE[#Headers], 0)), "")</f>
        <v>1119 Bank Transfer Account</v>
      </c>
      <c r="M42" s="1142" t="s">
        <v>0</v>
      </c>
      <c r="N42" s="1103" t="s">
        <v>0</v>
      </c>
      <c r="O42" s="1103" t="s">
        <v>0</v>
      </c>
      <c r="P42" s="1135" t="s">
        <v>0</v>
      </c>
      <c r="Q42" s="1135" t="s">
        <v>0</v>
      </c>
      <c r="R42" s="1135"/>
      <c r="S42" s="1135" t="s">
        <v>0</v>
      </c>
      <c r="T42" s="1135" t="str">
        <f>IFERROR(MATCH(M42,M_SYMBOL[SYMBOL],0),"")</f>
        <v/>
      </c>
      <c r="U42" s="1070">
        <f>IFERROR(MATCH(E42,M_TRX_TYPE[TYPE],0),"")</f>
        <v>17</v>
      </c>
      <c r="V42" s="1102" t="s">
        <v>0</v>
      </c>
      <c r="W42" s="1146" t="s">
        <v>766</v>
      </c>
      <c r="X42" s="1129">
        <f>W11</f>
        <v>176.75</v>
      </c>
      <c r="Y42" s="1115"/>
      <c r="Z42" s="1115"/>
      <c r="AA42" s="1193"/>
      <c r="AB42" s="1128"/>
      <c r="AC42" s="1184"/>
      <c r="AD42" s="1184"/>
      <c r="AE42" s="1128">
        <f t="shared" si="57"/>
        <v>0</v>
      </c>
      <c r="AF42" s="1128"/>
      <c r="AG42" s="1128"/>
      <c r="AH42" s="1128"/>
      <c r="AI42" s="1128"/>
      <c r="AJ42" s="1128"/>
      <c r="AK42" s="1128" t="str">
        <f>IF(O42="H",DE_BKUS[[#This Row],[DATE]],"")</f>
        <v/>
      </c>
      <c r="AL42" s="1185"/>
      <c r="AM42" s="1186"/>
      <c r="AN42" s="1122" t="s">
        <v>0</v>
      </c>
      <c r="AO42" s="1187"/>
      <c r="AP42" s="1194"/>
      <c r="AQ42" s="159" t="s">
        <v>0</v>
      </c>
      <c r="AR42" s="159"/>
      <c r="AV42" s="625"/>
      <c r="AW42" s="626"/>
      <c r="AX42" s="185"/>
      <c r="AY42" s="621"/>
      <c r="AZ42" s="621"/>
      <c r="BA42" s="623"/>
      <c r="BB42" s="623"/>
      <c r="BC42" s="185"/>
    </row>
    <row r="43" spans="1:57" s="179" customFormat="1" ht="15.75" customHeight="1">
      <c r="A43" s="177"/>
      <c r="B43" s="1199">
        <v>2005</v>
      </c>
      <c r="C43" s="1197" t="str">
        <f t="shared" si="58"/>
        <v>BK-US</v>
      </c>
      <c r="D43" s="1135" t="s">
        <v>839</v>
      </c>
      <c r="E43" s="1128" t="s">
        <v>23</v>
      </c>
      <c r="F43" s="1137">
        <v>45658</v>
      </c>
      <c r="G43" s="1142" t="str">
        <f t="shared" si="59"/>
        <v xml:space="preserve"> </v>
      </c>
      <c r="H43" s="1135"/>
      <c r="I43" s="1135"/>
      <c r="J43" s="1135"/>
      <c r="K43" s="1135"/>
      <c r="L43" s="1100" t="str" cm="1">
        <f t="array" ref="L43">IFERROR(INDEX(M_TRX_TYPE[#Data], U43, MATCH($C$6,M_TRX_TYPE[#Headers], 0)), "")</f>
        <v>1119 Bank Transfer Account</v>
      </c>
      <c r="M43" s="1142" t="s">
        <v>0</v>
      </c>
      <c r="N43" s="1142"/>
      <c r="O43" s="1103" t="s">
        <v>0</v>
      </c>
      <c r="P43" s="1135" t="s">
        <v>0</v>
      </c>
      <c r="Q43" s="1135" t="s">
        <v>0</v>
      </c>
      <c r="R43" s="1135"/>
      <c r="S43" s="1135" t="s">
        <v>0</v>
      </c>
      <c r="T43" s="1135" t="str">
        <f>IFERROR(MATCH(M43,M_SYMBOL[SYMBOL],0),"")</f>
        <v/>
      </c>
      <c r="U43" s="1070">
        <f>IFERROR(MATCH(E43,M_TRX_TYPE[TYPE],0),"")</f>
        <v>13</v>
      </c>
      <c r="V43" s="1102" t="s">
        <v>0</v>
      </c>
      <c r="W43" s="1128" t="s">
        <v>760</v>
      </c>
      <c r="X43" s="1129">
        <f>SUM(W12:W34)</f>
        <v>-94233.040000000008</v>
      </c>
      <c r="Y43" s="1128"/>
      <c r="Z43" s="1128"/>
      <c r="AA43" s="1193"/>
      <c r="AB43" s="1128"/>
      <c r="AC43" s="1184"/>
      <c r="AD43" s="1184"/>
      <c r="AE43" s="1128">
        <f t="shared" si="57"/>
        <v>0</v>
      </c>
      <c r="AF43" s="1128"/>
      <c r="AG43" s="1128"/>
      <c r="AH43" s="1128"/>
      <c r="AI43" s="1128"/>
      <c r="AJ43" s="1128"/>
      <c r="AK43" s="1128" t="str">
        <f>IF(O43="H",DE_BKUS[[#This Row],[DATE]],"")</f>
        <v/>
      </c>
      <c r="AL43" s="1185"/>
      <c r="AM43" s="1186"/>
      <c r="AN43" s="1122" t="s">
        <v>0</v>
      </c>
      <c r="AO43" s="1187"/>
      <c r="AP43" s="1194"/>
      <c r="AQ43" s="159" t="s">
        <v>0</v>
      </c>
      <c r="AR43" s="159"/>
      <c r="AV43" s="625"/>
      <c r="AW43" s="626"/>
      <c r="AX43" s="185"/>
      <c r="AY43" s="621"/>
      <c r="AZ43" s="621"/>
      <c r="BA43" s="623"/>
      <c r="BB43" s="623"/>
      <c r="BC43" s="185"/>
    </row>
    <row r="44" spans="1:57" s="179" customFormat="1" ht="15.75" customHeight="1">
      <c r="A44" s="177"/>
      <c r="B44" s="1199">
        <v>2006</v>
      </c>
      <c r="C44" s="1197" t="str">
        <f t="shared" si="58"/>
        <v>BK-US</v>
      </c>
      <c r="D44" s="1135" t="s">
        <v>840</v>
      </c>
      <c r="E44" s="1147" t="s">
        <v>230</v>
      </c>
      <c r="F44" s="1137">
        <v>45658</v>
      </c>
      <c r="G44" s="1142" t="str">
        <f>IF(H44&lt;&gt;0,J44/H44*-1," ")</f>
        <v xml:space="preserve"> </v>
      </c>
      <c r="H44" s="1135"/>
      <c r="I44" s="1135"/>
      <c r="J44" s="1135"/>
      <c r="K44" s="1135"/>
      <c r="L44" s="1100" t="str" cm="1">
        <f t="array" ref="L44">IFERROR(INDEX(M_TRX_TYPE[#Data], U44, MATCH($C$6,M_TRX_TYPE[#Headers], 0)), "")</f>
        <v>1119 Bank Transfer Account</v>
      </c>
      <c r="M44" s="1142"/>
      <c r="N44" s="1142"/>
      <c r="O44" s="1103"/>
      <c r="P44" s="1135"/>
      <c r="Q44" s="1135"/>
      <c r="R44" s="1135"/>
      <c r="S44" s="1135"/>
      <c r="T44" s="1135" t="str">
        <f>IFERROR(MATCH(M44,M_SYMBOL[SYMBOL],0),"")</f>
        <v/>
      </c>
      <c r="U44" s="1070">
        <f>IFERROR(MATCH(E44,M_TRX_TYPE[TYPE],0),"")</f>
        <v>1</v>
      </c>
      <c r="V44" s="1102"/>
      <c r="W44" s="1128" t="s">
        <v>841</v>
      </c>
      <c r="X44" s="1129">
        <f>(X42+X43)*-1</f>
        <v>94056.290000000008</v>
      </c>
      <c r="Y44" s="1128"/>
      <c r="Z44" s="1128"/>
      <c r="AA44" s="1193"/>
      <c r="AB44" s="1128"/>
      <c r="AC44" s="1184"/>
      <c r="AD44" s="1184"/>
      <c r="AE44" s="1128">
        <f t="shared" si="57"/>
        <v>0</v>
      </c>
      <c r="AF44" s="1128"/>
      <c r="AG44" s="1128"/>
      <c r="AH44" s="1128"/>
      <c r="AI44" s="1128"/>
      <c r="AJ44" s="1128"/>
      <c r="AK44" s="1128" t="str">
        <f>IF(O44="H",DE_BKUS[[#This Row],[DATE]],"")</f>
        <v/>
      </c>
      <c r="AL44" s="1185"/>
      <c r="AM44" s="1186"/>
      <c r="AN44" s="1122" t="s">
        <v>0</v>
      </c>
      <c r="AO44" s="1187"/>
      <c r="AP44" s="1194"/>
      <c r="AQ44" s="159" t="s">
        <v>0</v>
      </c>
      <c r="AR44" s="159"/>
      <c r="AV44" s="625"/>
      <c r="AW44" s="626"/>
      <c r="AX44" s="185"/>
      <c r="AY44" s="621"/>
      <c r="AZ44" s="621"/>
      <c r="BA44" s="623"/>
      <c r="BB44" s="623"/>
      <c r="BC44" s="185"/>
    </row>
    <row r="45" spans="1:57" s="179" customFormat="1" ht="15.75" customHeight="1">
      <c r="A45" s="177"/>
      <c r="B45" s="1199"/>
      <c r="C45" s="1136" t="s">
        <v>0</v>
      </c>
      <c r="D45" s="1135"/>
      <c r="E45" s="1135"/>
      <c r="F45" s="1137"/>
      <c r="G45" s="1142" t="str">
        <f>IF(H45&lt;&gt;0,J45/H45*-1," ")</f>
        <v xml:space="preserve"> </v>
      </c>
      <c r="H45" s="1135"/>
      <c r="I45" s="1135"/>
      <c r="J45" s="1135"/>
      <c r="K45" s="1135"/>
      <c r="L45" s="1100" t="s">
        <v>0</v>
      </c>
      <c r="M45" s="1148"/>
      <c r="N45" s="1142"/>
      <c r="O45" s="1103"/>
      <c r="P45" s="1135"/>
      <c r="Q45" s="1135"/>
      <c r="R45" s="1135"/>
      <c r="S45" s="1135"/>
      <c r="T45" s="1135" t="str">
        <f>IFERROR(MATCH(M45,M_SYMBOL[SYMBOL],0),"")</f>
        <v/>
      </c>
      <c r="U45" s="1135"/>
      <c r="V45" s="1102"/>
      <c r="W45" s="1128"/>
      <c r="X45" s="1129"/>
      <c r="Y45" s="1128"/>
      <c r="Z45" s="1128"/>
      <c r="AA45" s="1193"/>
      <c r="AB45" s="1128"/>
      <c r="AC45" s="1184"/>
      <c r="AD45" s="1184"/>
      <c r="AE45" s="1128">
        <f t="shared" si="57"/>
        <v>0</v>
      </c>
      <c r="AF45" s="1128"/>
      <c r="AG45" s="1128"/>
      <c r="AH45" s="1128"/>
      <c r="AI45" s="1128"/>
      <c r="AJ45" s="1128"/>
      <c r="AK45" s="1128" t="str">
        <f>IF(O45="H",DE_BKUS[[#This Row],[DATE]],"")</f>
        <v/>
      </c>
      <c r="AL45" s="1185"/>
      <c r="AM45" s="1186"/>
      <c r="AN45" s="1122" t="s">
        <v>0</v>
      </c>
      <c r="AO45" s="1187"/>
      <c r="AP45" s="1194"/>
      <c r="AQ45" s="159" t="s">
        <v>0</v>
      </c>
      <c r="AR45" s="159"/>
      <c r="AU45" s="179" t="s">
        <v>28</v>
      </c>
      <c r="AV45" s="625" t="s">
        <v>0</v>
      </c>
      <c r="AW45" s="626"/>
      <c r="AX45" s="185"/>
      <c r="AY45" s="621"/>
      <c r="AZ45" s="621"/>
      <c r="BA45" s="623"/>
      <c r="BB45" s="623"/>
      <c r="BC45" s="185" t="s">
        <v>0</v>
      </c>
    </row>
    <row r="46" spans="1:57" s="179" customFormat="1" ht="15.75" customHeight="1">
      <c r="A46" s="177"/>
      <c r="B46" s="1199">
        <v>300</v>
      </c>
      <c r="C46" s="1197" t="str">
        <f t="shared" ref="C46:C48" si="60">$C$6</f>
        <v>BK-US</v>
      </c>
      <c r="D46" s="1135" t="s">
        <v>842</v>
      </c>
      <c r="E46" s="1128" t="s">
        <v>843</v>
      </c>
      <c r="F46" s="1137">
        <v>46022</v>
      </c>
      <c r="G46" s="1142" t="str">
        <f t="shared" ref="G46" si="61">IF(H46&lt;&gt;0,J46/H46*-1," ")</f>
        <v xml:space="preserve"> </v>
      </c>
      <c r="H46" s="1135"/>
      <c r="I46" s="1135"/>
      <c r="J46" s="1135"/>
      <c r="K46" s="1142" t="s">
        <v>0</v>
      </c>
      <c r="L46" s="1100" t="str" cm="1">
        <f t="array" ref="L46">IFERROR(INDEX(M_TRX_TYPE[#Data], U46, MATCH($C$6,M_TRX_TYPE[#Headers], 0)), "")</f>
        <v/>
      </c>
      <c r="M46" s="1142"/>
      <c r="N46" s="1149" t="s">
        <v>0</v>
      </c>
      <c r="O46" s="1103"/>
      <c r="P46" s="1135"/>
      <c r="Q46" s="1135"/>
      <c r="R46" s="1135"/>
      <c r="S46" s="1135"/>
      <c r="T46" s="1135" t="str">
        <f>IFERROR(MATCH(M46,M_SYMBOL[SYMBOL],0),"")</f>
        <v/>
      </c>
      <c r="U46" s="1070" t="str">
        <f>IFERROR(MATCH(E46,M_TRX_TYPE[TYPE],0),"")</f>
        <v/>
      </c>
      <c r="V46" s="1102"/>
      <c r="W46" s="1128" t="s">
        <v>843</v>
      </c>
      <c r="X46" s="1129">
        <f>AO35*-1</f>
        <v>0</v>
      </c>
      <c r="Y46" s="1128"/>
      <c r="Z46" s="1128"/>
      <c r="AA46" s="1193"/>
      <c r="AB46" s="1128"/>
      <c r="AC46" s="1184"/>
      <c r="AD46" s="1184"/>
      <c r="AE46" s="1128">
        <f t="shared" si="57"/>
        <v>0</v>
      </c>
      <c r="AF46" s="1128"/>
      <c r="AG46" s="1128"/>
      <c r="AH46" s="1128"/>
      <c r="AI46" s="1128"/>
      <c r="AJ46" s="1128"/>
      <c r="AK46" s="1128" t="str">
        <f>IF(O46="H",DE_BKUS[[#This Row],[DATE]],"")</f>
        <v/>
      </c>
      <c r="AL46" s="1185"/>
      <c r="AM46" s="1186"/>
      <c r="AN46" s="1122" t="s">
        <v>0</v>
      </c>
      <c r="AO46" s="1187"/>
      <c r="AP46" s="1194"/>
      <c r="AQ46" s="159" t="s">
        <v>0</v>
      </c>
      <c r="AR46" s="159"/>
      <c r="AU46" s="179" t="s">
        <v>28</v>
      </c>
      <c r="AV46" s="625" t="s">
        <v>0</v>
      </c>
      <c r="AW46" s="626"/>
      <c r="AX46" s="185"/>
      <c r="AY46" s="621"/>
      <c r="AZ46" s="621"/>
      <c r="BA46" s="623"/>
      <c r="BB46" s="623"/>
      <c r="BC46" s="185" t="s">
        <v>0</v>
      </c>
    </row>
    <row r="47" spans="1:57" s="179" customFormat="1" ht="15.75" customHeight="1">
      <c r="A47" s="177"/>
      <c r="B47" s="1199">
        <v>301</v>
      </c>
      <c r="C47" s="1197" t="str">
        <f t="shared" si="60"/>
        <v>BK-US</v>
      </c>
      <c r="D47" s="1135" t="s">
        <v>844</v>
      </c>
      <c r="E47" s="1128" t="s">
        <v>845</v>
      </c>
      <c r="F47" s="1137">
        <v>46022</v>
      </c>
      <c r="G47" s="1142" t="str">
        <f>IF(H47&lt;&gt;0,J47/H47*-1," ")</f>
        <v xml:space="preserve"> </v>
      </c>
      <c r="H47" s="1135"/>
      <c r="I47" s="1135"/>
      <c r="J47" s="1135"/>
      <c r="K47" s="1135"/>
      <c r="L47" s="1100" t="str" cm="1">
        <f t="array" ref="L47">IFERROR(INDEX(M_TRX_TYPE[#Data], U47, MATCH($C$6,M_TRX_TYPE[#Headers], 0)), "")</f>
        <v/>
      </c>
      <c r="M47" s="1142"/>
      <c r="N47" s="1142" t="s">
        <v>0</v>
      </c>
      <c r="O47" s="1103" t="s">
        <v>0</v>
      </c>
      <c r="P47" s="1135"/>
      <c r="Q47" s="1135"/>
      <c r="R47" s="1135"/>
      <c r="S47" s="1135"/>
      <c r="T47" s="1135" t="str">
        <f>IFERROR(MATCH(M47,M_SYMBOL[SYMBOL],0),"")</f>
        <v/>
      </c>
      <c r="U47" s="1070" t="str">
        <f>IFERROR(MATCH(E47,M_TRX_TYPE[TYPE],0),"")</f>
        <v/>
      </c>
      <c r="V47" s="1102"/>
      <c r="W47" s="1128" t="s">
        <v>845</v>
      </c>
      <c r="X47" s="1129">
        <f ca="1">AM35</f>
        <v>114436.93000000001</v>
      </c>
      <c r="Y47" s="1128" t="s">
        <v>0</v>
      </c>
      <c r="Z47" s="1128" t="s">
        <v>0</v>
      </c>
      <c r="AA47" s="1193" t="s">
        <v>0</v>
      </c>
      <c r="AB47" s="1128"/>
      <c r="AC47" s="1184" t="s">
        <v>0</v>
      </c>
      <c r="AD47" s="1184"/>
      <c r="AE47" s="1128">
        <f t="shared" si="57"/>
        <v>0</v>
      </c>
      <c r="AF47" s="1128" t="str">
        <f>IF(D47="","",IF(OR(E47="B",E47="O"),AD47+AC47,IF(OR(E47="D",E47="Fee"),AC47,IF(E47="S",AC47-AE47,""))))</f>
        <v/>
      </c>
      <c r="AG47" s="1128"/>
      <c r="AH47" s="1128" t="s">
        <v>0</v>
      </c>
      <c r="AI47" s="1128"/>
      <c r="AJ47" s="1128"/>
      <c r="AK47" s="1128" t="str">
        <f>IF(O47="H",DE_BKUS[[#This Row],[DATE]],"")</f>
        <v/>
      </c>
      <c r="AL47" s="1185" t="s">
        <v>0</v>
      </c>
      <c r="AM47" s="1186"/>
      <c r="AN47" s="1122" t="s">
        <v>0</v>
      </c>
      <c r="AO47" s="1187"/>
      <c r="AP47" s="1194"/>
      <c r="AQ47" s="159" t="s">
        <v>0</v>
      </c>
      <c r="AR47" s="159"/>
      <c r="AU47" s="179" t="s">
        <v>28</v>
      </c>
      <c r="AV47" s="625" t="s">
        <v>0</v>
      </c>
      <c r="AW47" s="626"/>
      <c r="AX47" s="185"/>
      <c r="AY47" s="621"/>
      <c r="AZ47" s="621"/>
      <c r="BA47" s="623"/>
      <c r="BB47" s="623"/>
      <c r="BC47" s="185" t="s">
        <v>0</v>
      </c>
    </row>
    <row r="48" spans="1:57" s="179" customFormat="1" ht="15.75" customHeight="1" thickBot="1">
      <c r="A48" s="177"/>
      <c r="B48" s="1199">
        <v>302</v>
      </c>
      <c r="C48" s="1197" t="str">
        <f t="shared" si="60"/>
        <v>BK-US</v>
      </c>
      <c r="D48" s="1135" t="s">
        <v>846</v>
      </c>
      <c r="E48" s="1128" t="s">
        <v>847</v>
      </c>
      <c r="F48" s="1137">
        <v>46022</v>
      </c>
      <c r="G48" s="1142" t="str">
        <f t="shared" ref="G48:G49" si="62">IF(H48&lt;&gt;0,J48/H48*-1," ")</f>
        <v xml:space="preserve"> </v>
      </c>
      <c r="H48" s="1135"/>
      <c r="I48" s="1135"/>
      <c r="J48" s="1135"/>
      <c r="K48" s="1135"/>
      <c r="L48" s="1100" t="str" cm="1">
        <f t="array" ref="L48">IFERROR(INDEX(M_TRX_TYPE[#Data], U48, MATCH($C$6,M_TRX_TYPE[#Headers], 0)), "")</f>
        <v/>
      </c>
      <c r="M48" s="1142" t="s">
        <v>0</v>
      </c>
      <c r="N48" s="1142"/>
      <c r="O48" s="1103" t="s">
        <v>0</v>
      </c>
      <c r="P48" s="1135" t="s">
        <v>0</v>
      </c>
      <c r="Q48" s="1135" t="s">
        <v>0</v>
      </c>
      <c r="R48" s="1135"/>
      <c r="S48" s="1135" t="s">
        <v>0</v>
      </c>
      <c r="T48" s="1135" t="str">
        <f>IFERROR(MATCH(M48,M_SYMBOL[SYMBOL],0),"")</f>
        <v/>
      </c>
      <c r="U48" s="1135" t="s">
        <v>28</v>
      </c>
      <c r="V48" s="1150" t="s">
        <v>0</v>
      </c>
      <c r="W48" s="1151" t="s">
        <v>847</v>
      </c>
      <c r="X48" s="1152">
        <f ca="1">(X46+X47)*-1</f>
        <v>-114436.93000000001</v>
      </c>
      <c r="Y48" s="1128"/>
      <c r="Z48" s="1128"/>
      <c r="AA48" s="1193"/>
      <c r="AB48" s="1128"/>
      <c r="AC48" s="1184"/>
      <c r="AD48" s="1184"/>
      <c r="AE48" s="1128">
        <f t="shared" si="57"/>
        <v>0</v>
      </c>
      <c r="AF48" s="1128"/>
      <c r="AG48" s="1128"/>
      <c r="AH48" s="1128"/>
      <c r="AI48" s="1128"/>
      <c r="AJ48" s="1128"/>
      <c r="AK48" s="1128" t="str">
        <f>IF(O48="H",DE_BKUS[[#This Row],[DATE]],"")</f>
        <v/>
      </c>
      <c r="AL48" s="1185"/>
      <c r="AM48" s="1186"/>
      <c r="AN48" s="1122" t="s">
        <v>0</v>
      </c>
      <c r="AO48" s="1187"/>
      <c r="AP48" s="1194"/>
      <c r="AQ48" s="159" t="s">
        <v>0</v>
      </c>
      <c r="AR48" s="159"/>
      <c r="AU48" s="179" t="s">
        <v>28</v>
      </c>
      <c r="AV48" s="625" t="s">
        <v>0</v>
      </c>
      <c r="AW48" s="626"/>
      <c r="AX48" s="185"/>
      <c r="AY48" s="621"/>
      <c r="AZ48" s="621"/>
      <c r="BA48" s="623"/>
      <c r="BB48" s="623"/>
      <c r="BC48" s="185" t="s">
        <v>0</v>
      </c>
    </row>
    <row r="49" spans="1:55" s="179" customFormat="1" ht="15.75" customHeight="1" thickTop="1" thickBot="1">
      <c r="A49" s="177"/>
      <c r="B49" s="1200"/>
      <c r="C49" s="1173" t="s">
        <v>0</v>
      </c>
      <c r="D49" s="1173"/>
      <c r="E49" s="1173"/>
      <c r="F49" s="1173"/>
      <c r="G49" s="1174" t="str">
        <f t="shared" si="62"/>
        <v xml:space="preserve"> </v>
      </c>
      <c r="H49" s="1173"/>
      <c r="I49" s="1173"/>
      <c r="J49" s="1173"/>
      <c r="K49" s="1173"/>
      <c r="L49" s="1175" t="str" cm="1">
        <f t="array" ref="L49">IFERROR(INDEX(M_TRX_TYPE[#Data], U49, MATCH($C$6,M_TRX_TYPE[#Headers], 0)), "")</f>
        <v/>
      </c>
      <c r="M49" s="1086"/>
      <c r="N49" s="1086"/>
      <c r="O49" s="1103" t="s">
        <v>0</v>
      </c>
      <c r="P49" s="1086"/>
      <c r="Q49" s="1086"/>
      <c r="R49" s="1086"/>
      <c r="S49" s="1086"/>
      <c r="T49" s="1086" t="str">
        <f>IFERROR(MATCH(M49,M_SYMBOL[SYMBOL],0),"")</f>
        <v/>
      </c>
      <c r="U49" s="1086" t="s">
        <v>28</v>
      </c>
      <c r="V49" s="1086"/>
      <c r="W49" s="1153"/>
      <c r="X49" s="1154">
        <f ca="1">SUBTOTAL(109,X11:X48)</f>
        <v>0</v>
      </c>
      <c r="Y49" s="1153"/>
      <c r="Z49" s="1153"/>
      <c r="AA49" s="1195"/>
      <c r="AB49" s="1153"/>
      <c r="AC49" s="1189"/>
      <c r="AD49" s="1189"/>
      <c r="AE49" s="1153">
        <f t="shared" si="57"/>
        <v>0</v>
      </c>
      <c r="AF49" s="1153"/>
      <c r="AG49" s="1153"/>
      <c r="AH49" s="1153"/>
      <c r="AI49" s="1153"/>
      <c r="AJ49" s="1153"/>
      <c r="AK49" s="1153" t="str">
        <f>IF(O49="H",DE_BKUS[[#This Row],[DATE]],"")</f>
        <v/>
      </c>
      <c r="AL49" s="1182"/>
      <c r="AM49" s="1183"/>
      <c r="AN49" s="1122" t="s">
        <v>0</v>
      </c>
      <c r="AO49" s="1181"/>
      <c r="AP49" s="1075"/>
      <c r="AQ49" s="159" t="s">
        <v>0</v>
      </c>
      <c r="AR49" s="159"/>
      <c r="AU49" s="179" t="s">
        <v>28</v>
      </c>
      <c r="AV49" s="625" t="s">
        <v>0</v>
      </c>
      <c r="AW49" s="626"/>
      <c r="AX49" s="185"/>
      <c r="AY49" s="621"/>
      <c r="AZ49" s="621"/>
      <c r="BA49" s="623"/>
      <c r="BB49" s="623"/>
      <c r="BC49" s="185" t="s">
        <v>0</v>
      </c>
    </row>
    <row r="50" spans="1:55" s="179" customFormat="1" ht="15.75" customHeight="1" thickTop="1">
      <c r="A50" s="177"/>
      <c r="B50" s="189"/>
      <c r="C50" s="189"/>
      <c r="D50" s="189"/>
      <c r="E50" s="189"/>
      <c r="F50" s="189"/>
      <c r="G50" s="189"/>
      <c r="H50" s="189"/>
      <c r="I50" s="189"/>
      <c r="J50" s="189"/>
      <c r="K50" s="189"/>
      <c r="L50" s="189"/>
      <c r="M50" s="189"/>
      <c r="N50" s="189"/>
      <c r="O50" s="189"/>
      <c r="P50" s="189"/>
      <c r="Q50" s="189"/>
      <c r="R50" s="189"/>
      <c r="S50" s="189"/>
      <c r="T50" s="189"/>
      <c r="U50" s="199"/>
      <c r="V50" s="199"/>
      <c r="W50" s="199"/>
      <c r="X50" s="199"/>
      <c r="Y50" s="199"/>
      <c r="Z50" s="649"/>
      <c r="AA50" s="199"/>
      <c r="AB50" s="650"/>
      <c r="AC50" s="650"/>
      <c r="AD50" s="199"/>
      <c r="AE50" s="199"/>
      <c r="AF50" s="199"/>
      <c r="AG50" s="222"/>
      <c r="AH50" s="200"/>
      <c r="AI50" s="200"/>
      <c r="AJ50" s="651"/>
      <c r="AK50" s="651"/>
      <c r="AL50" s="652"/>
      <c r="AM50" s="653"/>
      <c r="AN50" s="652"/>
      <c r="AO50" s="652"/>
      <c r="AP50" s="159"/>
      <c r="AQ50" s="159" t="s">
        <v>0</v>
      </c>
      <c r="AR50" s="159"/>
    </row>
  </sheetData>
  <dataConsolidate/>
  <mergeCells count="11">
    <mergeCell ref="AL8:AP8"/>
    <mergeCell ref="AT8:BC8"/>
    <mergeCell ref="B8:L8"/>
    <mergeCell ref="M8:U8"/>
    <mergeCell ref="B2:L2"/>
    <mergeCell ref="V8:X8"/>
    <mergeCell ref="Y8:AB8"/>
    <mergeCell ref="AC8:AF8"/>
    <mergeCell ref="AG8:AJ8"/>
    <mergeCell ref="B4:L4"/>
    <mergeCell ref="B3:L3"/>
  </mergeCells>
  <dataValidations count="1">
    <dataValidation allowBlank="1" sqref="AV36:AV38 AV31:AV32 AV10:AV11 AV15:AV28 V10:V34 L10:L49" xr:uid="{42640260-2803-4A1F-B35B-FDE2FBEAE28A}"/>
  </dataValidations>
  <hyperlinks>
    <hyperlink ref="A1" location="'TABLE OF CONTENTS'!A1" display="INDEX" xr:uid="{09E38935-BDAC-4027-B412-7B3481994E5A}"/>
  </hyperlinks>
  <pageMargins left="0.7" right="0.7" top="0.75" bottom="0.75" header="0.3" footer="0.3"/>
  <pageSetup orientation="portrait" r:id="rId1"/>
  <tableParts count="2">
    <tablePart r:id="rId2"/>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150D4FF7-5EC0-4332-AF24-03CFC2EB0A91}">
          <x14:formula1>
            <xm:f>Broker_mapping!$B$4:$B$23</xm:f>
          </x14:formula1>
          <xm:sqref>E10:E49</xm:sqref>
        </x14:dataValidation>
        <x14:dataValidation type="list" allowBlank="1" showInputMessage="1" showErrorMessage="1" xr:uid="{17802370-513D-478E-BD2E-C4138C296F01}">
          <x14:formula1>
            <xm:f>SYMBOLS!$D$7:$D$229</xm:f>
          </x14:formula1>
          <xm:sqref>D10:D34</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E82C1-9CCB-4F50-8D22-01859C7324CA}">
  <sheetPr codeName="Sheet54">
    <tabColor theme="4"/>
    <outlinePr summaryBelow="0" summaryRight="0"/>
  </sheetPr>
  <dimension ref="A1:BE123"/>
  <sheetViews>
    <sheetView zoomScale="86" zoomScaleNormal="86" workbookViewId="0"/>
  </sheetViews>
  <sheetFormatPr defaultColWidth="12.5703125" defaultRowHeight="15.75" customHeight="1"/>
  <cols>
    <col min="1" max="1" width="3" style="3" customWidth="1"/>
    <col min="2" max="2" width="17.5703125" style="3" customWidth="1"/>
    <col min="3" max="3" width="6.5703125" style="3" customWidth="1"/>
    <col min="4" max="4" width="6.5703125" style="115" customWidth="1"/>
    <col min="5" max="5" width="27.85546875" style="91" customWidth="1"/>
    <col min="6" max="6" width="50.7109375" style="3" customWidth="1"/>
    <col min="7" max="7" width="26" style="52" customWidth="1"/>
    <col min="8" max="16384" width="12.5703125" style="3"/>
  </cols>
  <sheetData>
    <row r="1" spans="1:57" ht="15.75" customHeight="1">
      <c r="A1" s="59" t="s">
        <v>1650</v>
      </c>
      <c r="C1" s="3" t="s">
        <v>1081</v>
      </c>
      <c r="BE1" s="1252">
        <f>COUNT(G9:G108,"&lt;&gt;0")</f>
        <v>89</v>
      </c>
    </row>
    <row r="2" spans="1:57" ht="12.75">
      <c r="B2" s="1294" t="str">
        <f>COA!$B$2</f>
        <v>ANONYMOUS COMPANY</v>
      </c>
      <c r="C2" s="1294"/>
      <c r="D2" s="1294"/>
      <c r="E2" s="1339"/>
      <c r="F2" s="1339"/>
      <c r="G2" s="1339"/>
    </row>
    <row r="3" spans="1:57" ht="15.75" customHeight="1">
      <c r="B3" s="1331">
        <f>COA!B4</f>
        <v>46022</v>
      </c>
      <c r="C3" s="1331"/>
      <c r="D3" s="1331"/>
      <c r="E3" s="1339"/>
      <c r="F3" s="1339"/>
      <c r="G3" s="1339"/>
    </row>
    <row r="4" spans="1:57" ht="15.75" customHeight="1">
      <c r="B4" s="1298" t="s">
        <v>317</v>
      </c>
      <c r="C4" s="1298"/>
      <c r="D4" s="1298"/>
      <c r="E4" s="1339"/>
      <c r="F4" s="1339"/>
      <c r="G4" s="1339"/>
    </row>
    <row r="5" spans="1:57" ht="15.75" customHeight="1">
      <c r="B5" s="3" t="s">
        <v>0</v>
      </c>
      <c r="E5" s="273" t="s">
        <v>0</v>
      </c>
      <c r="F5" s="4"/>
      <c r="G5" s="487"/>
    </row>
    <row r="6" spans="1:57" ht="15.75" customHeight="1">
      <c r="A6" s="88"/>
      <c r="B6" s="119" t="s">
        <v>318</v>
      </c>
      <c r="D6" s="1253" t="s">
        <v>0</v>
      </c>
      <c r="E6" s="1254" t="s">
        <v>0</v>
      </c>
      <c r="F6" s="130"/>
      <c r="G6" s="488"/>
    </row>
    <row r="7" spans="1:57" ht="12.75">
      <c r="E7" s="3"/>
    </row>
    <row r="8" spans="1:57" ht="12.75">
      <c r="B8" s="1255" t="s">
        <v>7</v>
      </c>
      <c r="C8" s="1256" t="s">
        <v>8</v>
      </c>
      <c r="D8" s="1256" t="s">
        <v>6</v>
      </c>
      <c r="E8" s="1256" t="s">
        <v>9</v>
      </c>
      <c r="F8" s="1256" t="s">
        <v>10</v>
      </c>
      <c r="G8" s="1257" t="s">
        <v>13</v>
      </c>
    </row>
    <row r="9" spans="1:57" ht="15" customHeight="1">
      <c r="B9" s="131">
        <v>45657</v>
      </c>
      <c r="C9" s="580" t="s">
        <v>259</v>
      </c>
      <c r="D9" s="580" t="s">
        <v>149</v>
      </c>
      <c r="E9" s="1258" t="s">
        <v>348</v>
      </c>
      <c r="F9" s="1259" t="s">
        <v>1274</v>
      </c>
      <c r="G9" s="343">
        <v>24875.530000000199</v>
      </c>
    </row>
    <row r="10" spans="1:57" ht="15" customHeight="1">
      <c r="B10" s="131">
        <v>45657</v>
      </c>
      <c r="C10" s="580" t="s">
        <v>259</v>
      </c>
      <c r="D10" s="580" t="s">
        <v>149</v>
      </c>
      <c r="E10" s="1258" t="s">
        <v>348</v>
      </c>
      <c r="F10" s="1259" t="s">
        <v>80</v>
      </c>
      <c r="G10" s="343">
        <v>63334.97</v>
      </c>
    </row>
    <row r="11" spans="1:57" ht="15" customHeight="1">
      <c r="B11" s="131">
        <v>45657</v>
      </c>
      <c r="C11" s="580" t="s">
        <v>259</v>
      </c>
      <c r="D11" s="580" t="s">
        <v>149</v>
      </c>
      <c r="E11" s="1258" t="s">
        <v>348</v>
      </c>
      <c r="F11" s="1260" t="s">
        <v>853</v>
      </c>
      <c r="G11" s="1261">
        <v>2778.58</v>
      </c>
    </row>
    <row r="12" spans="1:57" ht="15" customHeight="1">
      <c r="B12" s="131">
        <v>45657</v>
      </c>
      <c r="C12" s="580" t="s">
        <v>259</v>
      </c>
      <c r="D12" s="580" t="s">
        <v>149</v>
      </c>
      <c r="E12" s="1258" t="s">
        <v>348</v>
      </c>
      <c r="F12" s="1260" t="s">
        <v>855</v>
      </c>
      <c r="G12" s="343">
        <v>22661.040000000001</v>
      </c>
    </row>
    <row r="13" spans="1:57" ht="15" customHeight="1">
      <c r="B13" s="131">
        <v>45657</v>
      </c>
      <c r="C13" s="580" t="s">
        <v>259</v>
      </c>
      <c r="D13" s="580" t="s">
        <v>149</v>
      </c>
      <c r="E13" s="1258" t="s">
        <v>348</v>
      </c>
      <c r="F13" s="1260" t="s">
        <v>854</v>
      </c>
      <c r="G13" s="343">
        <v>176.75</v>
      </c>
    </row>
    <row r="14" spans="1:57" ht="15" customHeight="1">
      <c r="B14" s="131">
        <v>45657</v>
      </c>
      <c r="C14" s="580" t="s">
        <v>259</v>
      </c>
      <c r="D14" s="580" t="s">
        <v>149</v>
      </c>
      <c r="E14" s="1258" t="s">
        <v>348</v>
      </c>
      <c r="F14" s="1259" t="s">
        <v>856</v>
      </c>
      <c r="G14" s="343">
        <v>94233.04</v>
      </c>
    </row>
    <row r="15" spans="1:57" ht="15" customHeight="1">
      <c r="B15" s="131">
        <v>45657</v>
      </c>
      <c r="C15" s="580" t="s">
        <v>259</v>
      </c>
      <c r="D15" s="580" t="s">
        <v>149</v>
      </c>
      <c r="E15" s="1258" t="s">
        <v>348</v>
      </c>
      <c r="F15" s="1259" t="s">
        <v>82</v>
      </c>
      <c r="G15" s="343">
        <v>0</v>
      </c>
    </row>
    <row r="16" spans="1:57" ht="15" customHeight="1">
      <c r="B16" s="131">
        <v>45657</v>
      </c>
      <c r="C16" s="580" t="s">
        <v>259</v>
      </c>
      <c r="D16" s="580" t="s">
        <v>149</v>
      </c>
      <c r="E16" s="1258" t="s">
        <v>348</v>
      </c>
      <c r="F16" s="1259" t="s">
        <v>718</v>
      </c>
      <c r="G16" s="343">
        <v>16076.56</v>
      </c>
    </row>
    <row r="17" spans="2:12" ht="15" customHeight="1">
      <c r="B17" s="131">
        <v>45657</v>
      </c>
      <c r="C17" s="580" t="s">
        <v>259</v>
      </c>
      <c r="D17" s="580" t="s">
        <v>149</v>
      </c>
      <c r="E17" s="1258" t="s">
        <v>348</v>
      </c>
      <c r="F17" s="1259" t="s">
        <v>1275</v>
      </c>
      <c r="G17" s="343">
        <v>38349.979999999996</v>
      </c>
    </row>
    <row r="18" spans="2:12" ht="15" customHeight="1">
      <c r="B18" s="131">
        <v>45657</v>
      </c>
      <c r="C18" s="580" t="s">
        <v>259</v>
      </c>
      <c r="D18" s="580" t="s">
        <v>149</v>
      </c>
      <c r="E18" s="1258" t="s">
        <v>348</v>
      </c>
      <c r="F18" s="1259" t="s">
        <v>1276</v>
      </c>
      <c r="G18" s="343">
        <v>9931.6200000000008</v>
      </c>
      <c r="L18" s="323"/>
    </row>
    <row r="19" spans="2:12" ht="15" customHeight="1">
      <c r="B19" s="131">
        <v>45657</v>
      </c>
      <c r="C19" s="580" t="s">
        <v>259</v>
      </c>
      <c r="D19" s="580" t="s">
        <v>149</v>
      </c>
      <c r="E19" s="1258" t="s">
        <v>348</v>
      </c>
      <c r="F19" s="1262" t="s">
        <v>1277</v>
      </c>
      <c r="G19" s="343">
        <v>62299</v>
      </c>
      <c r="L19" s="323"/>
    </row>
    <row r="20" spans="2:12" ht="15" customHeight="1">
      <c r="B20" s="131">
        <v>45657</v>
      </c>
      <c r="C20" s="580" t="s">
        <v>259</v>
      </c>
      <c r="D20" s="580" t="s">
        <v>149</v>
      </c>
      <c r="E20" s="1258" t="s">
        <v>348</v>
      </c>
      <c r="F20" s="1262" t="s">
        <v>1414</v>
      </c>
      <c r="G20" s="343">
        <v>-39657</v>
      </c>
      <c r="J20" s="3" t="s">
        <v>0</v>
      </c>
      <c r="L20" s="323"/>
    </row>
    <row r="21" spans="2:12" ht="15" customHeight="1">
      <c r="B21" s="131">
        <v>45657</v>
      </c>
      <c r="C21" s="580" t="s">
        <v>259</v>
      </c>
      <c r="D21" s="580" t="s">
        <v>149</v>
      </c>
      <c r="E21" s="1258" t="s">
        <v>348</v>
      </c>
      <c r="F21" s="1262" t="s">
        <v>71</v>
      </c>
      <c r="G21" s="343">
        <v>88951.72</v>
      </c>
      <c r="L21" s="323"/>
    </row>
    <row r="22" spans="2:12" ht="15" customHeight="1">
      <c r="B22" s="131">
        <v>45657</v>
      </c>
      <c r="C22" s="580" t="s">
        <v>259</v>
      </c>
      <c r="D22" s="580" t="s">
        <v>149</v>
      </c>
      <c r="E22" s="1258" t="s">
        <v>348</v>
      </c>
      <c r="F22" s="1259" t="s">
        <v>72</v>
      </c>
      <c r="G22" s="343">
        <v>-63486.54</v>
      </c>
      <c r="L22" s="323"/>
    </row>
    <row r="23" spans="2:12" ht="15" customHeight="1">
      <c r="B23" s="131">
        <v>45657</v>
      </c>
      <c r="C23" s="580" t="s">
        <v>259</v>
      </c>
      <c r="D23" s="580" t="s">
        <v>149</v>
      </c>
      <c r="E23" s="1258" t="s">
        <v>348</v>
      </c>
      <c r="F23" s="1259" t="s">
        <v>135</v>
      </c>
      <c r="G23" s="343">
        <v>907431.02</v>
      </c>
      <c r="L23" s="323"/>
    </row>
    <row r="24" spans="2:12" ht="15" customHeight="1">
      <c r="B24" s="131">
        <v>45657</v>
      </c>
      <c r="C24" s="580" t="s">
        <v>259</v>
      </c>
      <c r="D24" s="580" t="s">
        <v>149</v>
      </c>
      <c r="E24" s="1258" t="s">
        <v>348</v>
      </c>
      <c r="F24" s="1259" t="s">
        <v>136</v>
      </c>
      <c r="G24" s="343">
        <v>-637005.93000000005</v>
      </c>
      <c r="L24" s="323"/>
    </row>
    <row r="25" spans="2:12" ht="15" customHeight="1">
      <c r="B25" s="131">
        <v>45657</v>
      </c>
      <c r="C25" s="580" t="s">
        <v>259</v>
      </c>
      <c r="D25" s="580" t="s">
        <v>149</v>
      </c>
      <c r="E25" s="1258" t="s">
        <v>348</v>
      </c>
      <c r="F25" s="1259" t="s">
        <v>1547</v>
      </c>
      <c r="G25" s="343">
        <v>874941.75</v>
      </c>
      <c r="L25" s="323"/>
    </row>
    <row r="26" spans="2:12" ht="15" customHeight="1">
      <c r="B26" s="131">
        <v>45657</v>
      </c>
      <c r="C26" s="580" t="s">
        <v>259</v>
      </c>
      <c r="D26" s="580" t="s">
        <v>149</v>
      </c>
      <c r="E26" s="1258" t="s">
        <v>348</v>
      </c>
      <c r="F26" s="1259" t="s">
        <v>1548</v>
      </c>
      <c r="G26" s="343">
        <v>-503688.35</v>
      </c>
      <c r="L26" s="323"/>
    </row>
    <row r="27" spans="2:12" ht="15" customHeight="1">
      <c r="B27" s="131">
        <v>45657</v>
      </c>
      <c r="C27" s="580" t="s">
        <v>259</v>
      </c>
      <c r="D27" s="580" t="s">
        <v>149</v>
      </c>
      <c r="E27" s="1258" t="s">
        <v>348</v>
      </c>
      <c r="F27" s="709" t="s">
        <v>1250</v>
      </c>
      <c r="G27" s="343"/>
      <c r="L27" s="323"/>
    </row>
    <row r="28" spans="2:12" ht="15" customHeight="1">
      <c r="B28" s="131">
        <v>45657</v>
      </c>
      <c r="C28" s="580" t="s">
        <v>259</v>
      </c>
      <c r="D28" s="580" t="s">
        <v>149</v>
      </c>
      <c r="E28" s="1258" t="s">
        <v>348</v>
      </c>
      <c r="F28" s="709" t="s">
        <v>1278</v>
      </c>
      <c r="G28" s="343">
        <v>0</v>
      </c>
      <c r="L28" s="323"/>
    </row>
    <row r="29" spans="2:12" ht="15" customHeight="1">
      <c r="B29" s="131">
        <v>45657</v>
      </c>
      <c r="C29" s="580" t="s">
        <v>259</v>
      </c>
      <c r="D29" s="580" t="s">
        <v>149</v>
      </c>
      <c r="E29" s="1258" t="s">
        <v>348</v>
      </c>
      <c r="F29" s="709" t="s">
        <v>1279</v>
      </c>
      <c r="G29" s="343">
        <v>62250</v>
      </c>
      <c r="L29" s="323"/>
    </row>
    <row r="30" spans="2:12" ht="15" customHeight="1">
      <c r="B30" s="131">
        <v>45657</v>
      </c>
      <c r="C30" s="580" t="s">
        <v>259</v>
      </c>
      <c r="D30" s="580" t="s">
        <v>149</v>
      </c>
      <c r="E30" s="1258" t="s">
        <v>348</v>
      </c>
      <c r="F30" s="1259" t="s">
        <v>1280</v>
      </c>
      <c r="G30" s="343">
        <v>-47550</v>
      </c>
    </row>
    <row r="31" spans="2:12" ht="15" customHeight="1">
      <c r="B31" s="131">
        <v>45657</v>
      </c>
      <c r="C31" s="580" t="s">
        <v>259</v>
      </c>
      <c r="D31" s="580" t="s">
        <v>149</v>
      </c>
      <c r="E31" s="1258" t="s">
        <v>348</v>
      </c>
      <c r="F31" s="1259" t="s">
        <v>83</v>
      </c>
      <c r="G31" s="343">
        <v>0</v>
      </c>
    </row>
    <row r="32" spans="2:12" ht="15" customHeight="1">
      <c r="B32" s="131">
        <v>45657</v>
      </c>
      <c r="C32" s="580" t="s">
        <v>259</v>
      </c>
      <c r="D32" s="580" t="s">
        <v>149</v>
      </c>
      <c r="E32" s="1258" t="s">
        <v>348</v>
      </c>
      <c r="F32" s="1259" t="s">
        <v>1601</v>
      </c>
      <c r="G32" s="343">
        <v>-7713.65</v>
      </c>
    </row>
    <row r="33" spans="2:7" ht="15" customHeight="1">
      <c r="B33" s="131">
        <v>45657</v>
      </c>
      <c r="C33" s="580" t="s">
        <v>259</v>
      </c>
      <c r="D33" s="580" t="s">
        <v>149</v>
      </c>
      <c r="E33" s="1258" t="s">
        <v>348</v>
      </c>
      <c r="F33" s="1263" t="s">
        <v>336</v>
      </c>
      <c r="G33" s="343">
        <v>-313475.81</v>
      </c>
    </row>
    <row r="34" spans="2:7" ht="15" customHeight="1">
      <c r="B34" s="131">
        <v>45657</v>
      </c>
      <c r="C34" s="580" t="s">
        <v>259</v>
      </c>
      <c r="D34" s="580" t="s">
        <v>149</v>
      </c>
      <c r="E34" s="1258" t="s">
        <v>348</v>
      </c>
      <c r="F34" s="92" t="s">
        <v>85</v>
      </c>
      <c r="G34" s="343">
        <v>97200.98</v>
      </c>
    </row>
    <row r="35" spans="2:7" ht="15" customHeight="1">
      <c r="B35" s="131">
        <v>45657</v>
      </c>
      <c r="C35" s="580" t="s">
        <v>259</v>
      </c>
      <c r="D35" s="580" t="s">
        <v>149</v>
      </c>
      <c r="E35" s="1258" t="s">
        <v>348</v>
      </c>
      <c r="F35" s="344" t="s">
        <v>1281</v>
      </c>
      <c r="G35" s="343">
        <v>-16003.93</v>
      </c>
    </row>
    <row r="36" spans="2:7" ht="15" customHeight="1">
      <c r="B36" s="131">
        <v>45657</v>
      </c>
      <c r="C36" s="580" t="s">
        <v>259</v>
      </c>
      <c r="D36" s="580" t="s">
        <v>149</v>
      </c>
      <c r="E36" s="1258" t="s">
        <v>348</v>
      </c>
      <c r="F36" s="344" t="s">
        <v>338</v>
      </c>
      <c r="G36" s="343">
        <v>0</v>
      </c>
    </row>
    <row r="37" spans="2:7" ht="15" customHeight="1">
      <c r="B37" s="131">
        <v>45657</v>
      </c>
      <c r="C37" s="580" t="s">
        <v>259</v>
      </c>
      <c r="D37" s="580" t="s">
        <v>149</v>
      </c>
      <c r="E37" s="1258" t="s">
        <v>348</v>
      </c>
      <c r="F37" s="1264" t="s">
        <v>87</v>
      </c>
      <c r="G37" s="343">
        <v>18284.12</v>
      </c>
    </row>
    <row r="38" spans="2:7" ht="15" customHeight="1">
      <c r="B38" s="131">
        <v>45657</v>
      </c>
      <c r="C38" s="580" t="s">
        <v>259</v>
      </c>
      <c r="D38" s="580" t="s">
        <v>149</v>
      </c>
      <c r="E38" s="1258" t="s">
        <v>348</v>
      </c>
      <c r="F38" s="709" t="s">
        <v>88</v>
      </c>
      <c r="G38" s="343">
        <v>-51912.51</v>
      </c>
    </row>
    <row r="39" spans="2:7" ht="15" customHeight="1">
      <c r="B39" s="131">
        <v>45657</v>
      </c>
      <c r="C39" s="580" t="s">
        <v>259</v>
      </c>
      <c r="D39" s="580" t="s">
        <v>149</v>
      </c>
      <c r="E39" s="1258" t="s">
        <v>348</v>
      </c>
      <c r="F39" s="709" t="s">
        <v>1209</v>
      </c>
      <c r="G39" s="343">
        <v>318966.540000004</v>
      </c>
    </row>
    <row r="40" spans="2:7" ht="15" customHeight="1">
      <c r="B40" s="131">
        <v>45657</v>
      </c>
      <c r="C40" s="580" t="s">
        <v>259</v>
      </c>
      <c r="D40" s="580" t="s">
        <v>149</v>
      </c>
      <c r="E40" s="1258" t="s">
        <v>348</v>
      </c>
      <c r="F40" s="1259" t="s">
        <v>1596</v>
      </c>
      <c r="G40" s="343">
        <v>87341.03</v>
      </c>
    </row>
    <row r="41" spans="2:7" ht="15" customHeight="1">
      <c r="B41" s="131">
        <v>45657</v>
      </c>
      <c r="C41" s="580" t="s">
        <v>259</v>
      </c>
      <c r="D41" s="580" t="s">
        <v>149</v>
      </c>
      <c r="E41" s="1258" t="s">
        <v>348</v>
      </c>
      <c r="F41" s="709" t="s">
        <v>1554</v>
      </c>
      <c r="G41" s="343">
        <v>-160231.54999999999</v>
      </c>
    </row>
    <row r="42" spans="2:7" ht="15" customHeight="1">
      <c r="B42" s="131">
        <v>45657</v>
      </c>
      <c r="C42" s="580" t="s">
        <v>259</v>
      </c>
      <c r="D42" s="580" t="s">
        <v>149</v>
      </c>
      <c r="E42" s="1258" t="s">
        <v>348</v>
      </c>
      <c r="F42" s="1259" t="s">
        <v>526</v>
      </c>
      <c r="G42" s="343">
        <v>-110400</v>
      </c>
    </row>
    <row r="43" spans="2:7" ht="15" customHeight="1">
      <c r="B43" s="131">
        <v>45657</v>
      </c>
      <c r="C43" s="580" t="s">
        <v>259</v>
      </c>
      <c r="D43" s="580" t="s">
        <v>149</v>
      </c>
      <c r="E43" s="1258" t="s">
        <v>348</v>
      </c>
      <c r="F43" s="1259" t="s">
        <v>1282</v>
      </c>
      <c r="G43" s="343">
        <v>-22464</v>
      </c>
    </row>
    <row r="44" spans="2:7" ht="15" customHeight="1">
      <c r="B44" s="131">
        <v>45657</v>
      </c>
      <c r="C44" s="580" t="s">
        <v>259</v>
      </c>
      <c r="D44" s="580" t="s">
        <v>149</v>
      </c>
      <c r="E44" s="1258" t="s">
        <v>348</v>
      </c>
      <c r="F44" s="1259" t="s">
        <v>523</v>
      </c>
      <c r="G44" s="343">
        <v>-394110.85</v>
      </c>
    </row>
    <row r="45" spans="2:7" ht="15" customHeight="1">
      <c r="B45" s="273"/>
      <c r="C45" s="581"/>
      <c r="D45" s="580"/>
      <c r="E45" s="1265"/>
      <c r="F45" s="1260" t="s">
        <v>1543</v>
      </c>
      <c r="G45" s="343">
        <v>110400</v>
      </c>
    </row>
    <row r="46" spans="2:7" ht="15" customHeight="1">
      <c r="B46" s="131">
        <v>45657</v>
      </c>
      <c r="C46" s="580" t="s">
        <v>259</v>
      </c>
      <c r="D46" s="580" t="s">
        <v>149</v>
      </c>
      <c r="E46" s="1258" t="s">
        <v>348</v>
      </c>
      <c r="F46" s="710" t="s">
        <v>1210</v>
      </c>
      <c r="G46" s="343">
        <v>182989</v>
      </c>
    </row>
    <row r="47" spans="2:7" ht="15" customHeight="1">
      <c r="B47" s="131">
        <v>45657</v>
      </c>
      <c r="C47" s="580" t="s">
        <v>259</v>
      </c>
      <c r="D47" s="580" t="s">
        <v>149</v>
      </c>
      <c r="E47" s="1258" t="s">
        <v>348</v>
      </c>
      <c r="F47" s="1259" t="s">
        <v>339</v>
      </c>
      <c r="G47" s="343">
        <v>-105</v>
      </c>
    </row>
    <row r="48" spans="2:7" ht="15" customHeight="1">
      <c r="B48" s="131">
        <v>45657</v>
      </c>
      <c r="C48" s="580" t="s">
        <v>259</v>
      </c>
      <c r="D48" s="580" t="s">
        <v>149</v>
      </c>
      <c r="E48" s="1258" t="s">
        <v>348</v>
      </c>
      <c r="F48" s="1259" t="s">
        <v>90</v>
      </c>
      <c r="G48" s="343">
        <v>-628827.28000000259</v>
      </c>
    </row>
    <row r="49" spans="2:7" ht="15" customHeight="1">
      <c r="B49" s="131">
        <v>45657</v>
      </c>
      <c r="C49" s="580" t="s">
        <v>259</v>
      </c>
      <c r="D49" s="580" t="s">
        <v>149</v>
      </c>
      <c r="E49" s="1258" t="s">
        <v>348</v>
      </c>
      <c r="F49" s="1266" t="s">
        <v>1251</v>
      </c>
      <c r="G49" s="343">
        <v>-5257237.03</v>
      </c>
    </row>
    <row r="50" spans="2:7" ht="15" customHeight="1">
      <c r="B50" s="131">
        <v>45657</v>
      </c>
      <c r="C50" s="580" t="s">
        <v>259</v>
      </c>
      <c r="D50" s="580" t="s">
        <v>149</v>
      </c>
      <c r="E50" s="1258" t="s">
        <v>348</v>
      </c>
      <c r="F50" s="709" t="s">
        <v>1283</v>
      </c>
      <c r="G50" s="343">
        <v>-556439.68000000098</v>
      </c>
    </row>
    <row r="51" spans="2:7" ht="15" customHeight="1">
      <c r="B51" s="131">
        <v>45657</v>
      </c>
      <c r="C51" s="580" t="s">
        <v>259</v>
      </c>
      <c r="D51" s="580" t="s">
        <v>149</v>
      </c>
      <c r="E51" s="1258" t="s">
        <v>348</v>
      </c>
      <c r="F51" s="1262" t="s">
        <v>1284</v>
      </c>
      <c r="G51" s="343">
        <v>-445743.23</v>
      </c>
    </row>
    <row r="52" spans="2:7" ht="15" customHeight="1">
      <c r="B52" s="131">
        <v>45657</v>
      </c>
      <c r="C52" s="580" t="s">
        <v>259</v>
      </c>
      <c r="D52" s="580" t="s">
        <v>149</v>
      </c>
      <c r="E52" s="1258" t="s">
        <v>348</v>
      </c>
      <c r="F52" s="711" t="s">
        <v>1252</v>
      </c>
      <c r="G52" s="343">
        <v>-380</v>
      </c>
    </row>
    <row r="53" spans="2:7" ht="15" customHeight="1">
      <c r="B53" s="131">
        <v>45657</v>
      </c>
      <c r="C53" s="580" t="s">
        <v>259</v>
      </c>
      <c r="D53" s="580" t="s">
        <v>149</v>
      </c>
      <c r="E53" s="1258" t="s">
        <v>348</v>
      </c>
      <c r="F53" s="1259" t="s">
        <v>1253</v>
      </c>
      <c r="G53" s="343">
        <v>19472.05</v>
      </c>
    </row>
    <row r="54" spans="2:7" ht="15" customHeight="1">
      <c r="B54" s="131">
        <v>45657</v>
      </c>
      <c r="C54" s="580" t="s">
        <v>259</v>
      </c>
      <c r="D54" s="580" t="s">
        <v>149</v>
      </c>
      <c r="E54" s="1258" t="s">
        <v>348</v>
      </c>
      <c r="F54" s="1262" t="s">
        <v>1254</v>
      </c>
      <c r="G54" s="343">
        <v>0</v>
      </c>
    </row>
    <row r="55" spans="2:7" ht="15" customHeight="1">
      <c r="B55" s="131">
        <v>45657</v>
      </c>
      <c r="C55" s="580" t="s">
        <v>259</v>
      </c>
      <c r="D55" s="580" t="s">
        <v>149</v>
      </c>
      <c r="E55" s="1258" t="s">
        <v>348</v>
      </c>
      <c r="F55" s="1262" t="s">
        <v>1255</v>
      </c>
      <c r="G55" s="343"/>
    </row>
    <row r="56" spans="2:7" ht="15" customHeight="1">
      <c r="B56" s="131">
        <v>45657</v>
      </c>
      <c r="C56" s="580" t="s">
        <v>259</v>
      </c>
      <c r="D56" s="580" t="s">
        <v>149</v>
      </c>
      <c r="E56" s="1258" t="s">
        <v>348</v>
      </c>
      <c r="F56" s="1260" t="s">
        <v>284</v>
      </c>
      <c r="G56" s="343">
        <v>164563.54</v>
      </c>
    </row>
    <row r="57" spans="2:7" ht="15" customHeight="1">
      <c r="B57" s="131">
        <v>45657</v>
      </c>
      <c r="C57" s="580" t="s">
        <v>259</v>
      </c>
      <c r="D57" s="580" t="s">
        <v>149</v>
      </c>
      <c r="E57" s="1258" t="s">
        <v>348</v>
      </c>
      <c r="F57" s="1262" t="s">
        <v>1256</v>
      </c>
      <c r="G57" s="343"/>
    </row>
    <row r="58" spans="2:7" ht="15" customHeight="1">
      <c r="B58" s="131">
        <v>45657</v>
      </c>
      <c r="C58" s="580" t="s">
        <v>259</v>
      </c>
      <c r="D58" s="580" t="s">
        <v>149</v>
      </c>
      <c r="E58" s="1258" t="s">
        <v>348</v>
      </c>
      <c r="F58" s="1262" t="s">
        <v>1285</v>
      </c>
      <c r="G58" s="343">
        <v>1392350.4700000002</v>
      </c>
    </row>
    <row r="59" spans="2:7" ht="15" customHeight="1">
      <c r="B59" s="131">
        <v>45657</v>
      </c>
      <c r="C59" s="580" t="s">
        <v>259</v>
      </c>
      <c r="D59" s="580" t="s">
        <v>149</v>
      </c>
      <c r="E59" s="1258" t="s">
        <v>348</v>
      </c>
      <c r="F59" s="1267" t="s">
        <v>1286</v>
      </c>
      <c r="G59" s="343">
        <v>160423.6</v>
      </c>
    </row>
    <row r="60" spans="2:7" ht="15" customHeight="1">
      <c r="B60" s="131">
        <v>45657</v>
      </c>
      <c r="C60" s="580" t="s">
        <v>259</v>
      </c>
      <c r="D60" s="580" t="s">
        <v>149</v>
      </c>
      <c r="E60" s="1258" t="s">
        <v>348</v>
      </c>
      <c r="F60" s="709" t="s">
        <v>1257</v>
      </c>
      <c r="G60" s="343"/>
    </row>
    <row r="61" spans="2:7" ht="15" customHeight="1">
      <c r="B61" s="131">
        <v>45657</v>
      </c>
      <c r="C61" s="580" t="s">
        <v>259</v>
      </c>
      <c r="D61" s="580" t="s">
        <v>149</v>
      </c>
      <c r="E61" s="1258" t="s">
        <v>348</v>
      </c>
      <c r="F61" s="1259" t="s">
        <v>1258</v>
      </c>
      <c r="G61" s="343"/>
    </row>
    <row r="62" spans="2:7" ht="15" customHeight="1">
      <c r="B62" s="131">
        <v>45657</v>
      </c>
      <c r="C62" s="580" t="s">
        <v>259</v>
      </c>
      <c r="D62" s="580" t="s">
        <v>149</v>
      </c>
      <c r="E62" s="1258" t="s">
        <v>348</v>
      </c>
      <c r="F62" s="1262" t="s">
        <v>1259</v>
      </c>
      <c r="G62" s="343"/>
    </row>
    <row r="63" spans="2:7" ht="15" customHeight="1">
      <c r="B63" s="131">
        <v>45657</v>
      </c>
      <c r="C63" s="580" t="s">
        <v>259</v>
      </c>
      <c r="D63" s="580" t="s">
        <v>149</v>
      </c>
      <c r="E63" s="1258" t="s">
        <v>348</v>
      </c>
      <c r="F63" s="709" t="s">
        <v>1287</v>
      </c>
      <c r="G63" s="343">
        <v>2019674.17</v>
      </c>
    </row>
    <row r="64" spans="2:7" ht="15" customHeight="1">
      <c r="B64" s="131">
        <v>45657</v>
      </c>
      <c r="C64" s="580" t="s">
        <v>259</v>
      </c>
      <c r="D64" s="580" t="s">
        <v>149</v>
      </c>
      <c r="E64" s="1258" t="s">
        <v>348</v>
      </c>
      <c r="F64" s="1259" t="s">
        <v>1288</v>
      </c>
      <c r="G64" s="343">
        <v>38957.58</v>
      </c>
    </row>
    <row r="65" spans="2:7" ht="15" customHeight="1">
      <c r="B65" s="131">
        <v>45657</v>
      </c>
      <c r="C65" s="580" t="s">
        <v>259</v>
      </c>
      <c r="D65" s="580" t="s">
        <v>149</v>
      </c>
      <c r="E65" s="1258" t="s">
        <v>348</v>
      </c>
      <c r="F65" s="709" t="s">
        <v>1289</v>
      </c>
      <c r="G65" s="343">
        <v>185845.39</v>
      </c>
    </row>
    <row r="66" spans="2:7" ht="15" customHeight="1">
      <c r="B66" s="131">
        <v>45657</v>
      </c>
      <c r="C66" s="580" t="s">
        <v>259</v>
      </c>
      <c r="D66" s="580" t="s">
        <v>149</v>
      </c>
      <c r="E66" s="1258" t="s">
        <v>348</v>
      </c>
      <c r="F66" s="709" t="s">
        <v>1290</v>
      </c>
      <c r="G66" s="343">
        <v>13851.27</v>
      </c>
    </row>
    <row r="67" spans="2:7" ht="15" customHeight="1">
      <c r="B67" s="131">
        <v>45657</v>
      </c>
      <c r="C67" s="580" t="s">
        <v>259</v>
      </c>
      <c r="D67" s="580" t="s">
        <v>149</v>
      </c>
      <c r="E67" s="1258" t="s">
        <v>348</v>
      </c>
      <c r="F67" s="709" t="s">
        <v>1291</v>
      </c>
      <c r="G67" s="343">
        <v>213665.01</v>
      </c>
    </row>
    <row r="68" spans="2:7" ht="15" customHeight="1">
      <c r="B68" s="131">
        <v>45657</v>
      </c>
      <c r="C68" s="580" t="s">
        <v>259</v>
      </c>
      <c r="D68" s="580" t="s">
        <v>149</v>
      </c>
      <c r="E68" s="1258" t="s">
        <v>348</v>
      </c>
      <c r="F68" s="709" t="s">
        <v>1292</v>
      </c>
      <c r="G68" s="343">
        <v>31671.1</v>
      </c>
    </row>
    <row r="69" spans="2:7" ht="15" customHeight="1">
      <c r="B69" s="131">
        <v>45657</v>
      </c>
      <c r="C69" s="580" t="s">
        <v>259</v>
      </c>
      <c r="D69" s="580" t="s">
        <v>149</v>
      </c>
      <c r="E69" s="1258" t="s">
        <v>348</v>
      </c>
      <c r="F69" s="709" t="s">
        <v>1293</v>
      </c>
      <c r="G69" s="343">
        <v>8786.6</v>
      </c>
    </row>
    <row r="70" spans="2:7" ht="15" customHeight="1">
      <c r="B70" s="131">
        <v>45657</v>
      </c>
      <c r="C70" s="580" t="s">
        <v>259</v>
      </c>
      <c r="D70" s="580" t="s">
        <v>149</v>
      </c>
      <c r="E70" s="1258" t="s">
        <v>348</v>
      </c>
      <c r="F70" s="709" t="s">
        <v>1294</v>
      </c>
      <c r="G70" s="343">
        <v>25442.31</v>
      </c>
    </row>
    <row r="71" spans="2:7" ht="15" customHeight="1">
      <c r="B71" s="131">
        <v>45657</v>
      </c>
      <c r="C71" s="580" t="s">
        <v>259</v>
      </c>
      <c r="D71" s="580" t="s">
        <v>149</v>
      </c>
      <c r="E71" s="1258" t="s">
        <v>348</v>
      </c>
      <c r="F71" s="709" t="s">
        <v>1260</v>
      </c>
      <c r="G71" s="343">
        <v>33577.35</v>
      </c>
    </row>
    <row r="72" spans="2:7" ht="15" customHeight="1">
      <c r="B72" s="131">
        <v>45657</v>
      </c>
      <c r="C72" s="580" t="s">
        <v>259</v>
      </c>
      <c r="D72" s="580" t="s">
        <v>149</v>
      </c>
      <c r="E72" s="1258" t="s">
        <v>348</v>
      </c>
      <c r="F72" s="709" t="s">
        <v>1295</v>
      </c>
      <c r="G72" s="343">
        <v>810542.21</v>
      </c>
    </row>
    <row r="73" spans="2:7" ht="15" customHeight="1">
      <c r="B73" s="131">
        <v>45657</v>
      </c>
      <c r="C73" s="580" t="s">
        <v>259</v>
      </c>
      <c r="D73" s="580" t="s">
        <v>149</v>
      </c>
      <c r="E73" s="1258" t="s">
        <v>348</v>
      </c>
      <c r="F73" s="709" t="s">
        <v>1296</v>
      </c>
      <c r="G73" s="343">
        <v>105801.37000000001</v>
      </c>
    </row>
    <row r="74" spans="2:7" ht="15" customHeight="1">
      <c r="B74" s="131">
        <v>45657</v>
      </c>
      <c r="C74" s="580" t="s">
        <v>259</v>
      </c>
      <c r="D74" s="580" t="s">
        <v>149</v>
      </c>
      <c r="E74" s="1258" t="s">
        <v>348</v>
      </c>
      <c r="F74" s="709" t="s">
        <v>1306</v>
      </c>
      <c r="G74" s="343">
        <v>4802.34</v>
      </c>
    </row>
    <row r="75" spans="2:7" ht="15" customHeight="1">
      <c r="B75" s="131">
        <v>45657</v>
      </c>
      <c r="C75" s="580" t="s">
        <v>259</v>
      </c>
      <c r="D75" s="580" t="s">
        <v>149</v>
      </c>
      <c r="E75" s="1258" t="s">
        <v>348</v>
      </c>
      <c r="F75" s="1268" t="s">
        <v>1261</v>
      </c>
      <c r="G75" s="343">
        <v>21450.46</v>
      </c>
    </row>
    <row r="76" spans="2:7" ht="15" customHeight="1">
      <c r="B76" s="131">
        <v>45657</v>
      </c>
      <c r="C76" s="580" t="s">
        <v>259</v>
      </c>
      <c r="D76" s="580" t="s">
        <v>149</v>
      </c>
      <c r="E76" s="1258" t="s">
        <v>348</v>
      </c>
      <c r="F76" s="709" t="s">
        <v>1297</v>
      </c>
      <c r="G76" s="343"/>
    </row>
    <row r="77" spans="2:7" ht="15" customHeight="1">
      <c r="B77" s="131">
        <v>45657</v>
      </c>
      <c r="C77" s="580" t="s">
        <v>259</v>
      </c>
      <c r="D77" s="580" t="s">
        <v>149</v>
      </c>
      <c r="E77" s="1258" t="s">
        <v>348</v>
      </c>
      <c r="F77" s="711" t="s">
        <v>1298</v>
      </c>
      <c r="G77" s="343">
        <v>282585.45999999996</v>
      </c>
    </row>
    <row r="78" spans="2:7" ht="15" customHeight="1">
      <c r="B78" s="131">
        <v>45657</v>
      </c>
      <c r="C78" s="580" t="s">
        <v>259</v>
      </c>
      <c r="D78" s="580" t="s">
        <v>149</v>
      </c>
      <c r="E78" s="1258" t="s">
        <v>348</v>
      </c>
      <c r="F78" s="233" t="s">
        <v>1299</v>
      </c>
      <c r="G78" s="343">
        <v>24628.829999999998</v>
      </c>
    </row>
    <row r="79" spans="2:7" ht="15" customHeight="1">
      <c r="B79" s="131">
        <v>45657</v>
      </c>
      <c r="C79" s="580" t="s">
        <v>259</v>
      </c>
      <c r="D79" s="580" t="s">
        <v>149</v>
      </c>
      <c r="E79" s="1258" t="s">
        <v>348</v>
      </c>
      <c r="F79" s="1259" t="s">
        <v>1300</v>
      </c>
      <c r="G79" s="343">
        <v>85851.810000000012</v>
      </c>
    </row>
    <row r="80" spans="2:7" ht="15" customHeight="1">
      <c r="B80" s="131">
        <v>45657</v>
      </c>
      <c r="C80" s="580" t="s">
        <v>259</v>
      </c>
      <c r="D80" s="580" t="s">
        <v>149</v>
      </c>
      <c r="E80" s="1258" t="s">
        <v>348</v>
      </c>
      <c r="F80" s="1269" t="s">
        <v>1301</v>
      </c>
      <c r="G80" s="343">
        <v>7841.58</v>
      </c>
    </row>
    <row r="81" spans="2:8" ht="15" customHeight="1">
      <c r="B81" s="131">
        <v>45657</v>
      </c>
      <c r="C81" s="580" t="s">
        <v>259</v>
      </c>
      <c r="D81" s="580" t="s">
        <v>149</v>
      </c>
      <c r="E81" s="1258" t="s">
        <v>348</v>
      </c>
      <c r="F81" s="709" t="s">
        <v>1557</v>
      </c>
      <c r="G81" s="343">
        <v>74445.929999999978</v>
      </c>
      <c r="H81" s="119"/>
    </row>
    <row r="82" spans="2:8" ht="15" customHeight="1">
      <c r="B82" s="131">
        <v>45657</v>
      </c>
      <c r="C82" s="580" t="s">
        <v>259</v>
      </c>
      <c r="D82" s="580" t="s">
        <v>149</v>
      </c>
      <c r="E82" s="1258" t="s">
        <v>348</v>
      </c>
      <c r="F82" s="1259" t="s">
        <v>1302</v>
      </c>
      <c r="G82" s="343">
        <v>1904.5699999999997</v>
      </c>
      <c r="H82" s="119"/>
    </row>
    <row r="83" spans="2:8" ht="15" customHeight="1">
      <c r="B83" s="131">
        <v>45657</v>
      </c>
      <c r="C83" s="580" t="s">
        <v>259</v>
      </c>
      <c r="D83" s="580" t="s">
        <v>149</v>
      </c>
      <c r="E83" s="1258" t="s">
        <v>348</v>
      </c>
      <c r="F83" s="1260" t="s">
        <v>1303</v>
      </c>
      <c r="G83" s="343">
        <v>83609.789999999994</v>
      </c>
      <c r="H83" s="119"/>
    </row>
    <row r="84" spans="2:8" ht="15" customHeight="1">
      <c r="B84" s="131">
        <v>45657</v>
      </c>
      <c r="C84" s="580" t="s">
        <v>259</v>
      </c>
      <c r="D84" s="580" t="s">
        <v>149</v>
      </c>
      <c r="E84" s="1258" t="s">
        <v>348</v>
      </c>
      <c r="F84" s="1260" t="s">
        <v>1559</v>
      </c>
      <c r="G84" s="343">
        <v>31717.71</v>
      </c>
      <c r="H84" s="119"/>
    </row>
    <row r="85" spans="2:8" ht="15" customHeight="1">
      <c r="B85" s="131">
        <v>45657</v>
      </c>
      <c r="C85" s="580" t="s">
        <v>259</v>
      </c>
      <c r="D85" s="580" t="s">
        <v>149</v>
      </c>
      <c r="E85" s="1258" t="s">
        <v>348</v>
      </c>
      <c r="F85" s="1260" t="s">
        <v>1603</v>
      </c>
      <c r="G85" s="343">
        <v>16865.999999999996</v>
      </c>
      <c r="H85" s="119"/>
    </row>
    <row r="86" spans="2:8" ht="15" customHeight="1">
      <c r="B86" s="131">
        <v>45657</v>
      </c>
      <c r="C86" s="580" t="s">
        <v>259</v>
      </c>
      <c r="D86" s="580" t="s">
        <v>149</v>
      </c>
      <c r="E86" s="1258" t="s">
        <v>348</v>
      </c>
      <c r="F86" s="1260" t="s">
        <v>1604</v>
      </c>
      <c r="G86" s="343">
        <v>19899.5</v>
      </c>
      <c r="H86" s="119"/>
    </row>
    <row r="87" spans="2:8" ht="15" customHeight="1">
      <c r="B87" s="131">
        <v>45657</v>
      </c>
      <c r="C87" s="580" t="s">
        <v>259</v>
      </c>
      <c r="D87" s="580" t="s">
        <v>149</v>
      </c>
      <c r="E87" s="1258" t="s">
        <v>348</v>
      </c>
      <c r="F87" s="1260" t="s">
        <v>1605</v>
      </c>
      <c r="G87" s="343">
        <v>15290.11</v>
      </c>
      <c r="H87" s="119"/>
    </row>
    <row r="88" spans="2:8" ht="15" customHeight="1">
      <c r="B88" s="131">
        <v>45657</v>
      </c>
      <c r="C88" s="580" t="s">
        <v>259</v>
      </c>
      <c r="D88" s="580" t="s">
        <v>149</v>
      </c>
      <c r="E88" s="1258" t="s">
        <v>348</v>
      </c>
      <c r="F88" s="1260" t="s">
        <v>1304</v>
      </c>
      <c r="G88" s="343">
        <v>28484.190000000002</v>
      </c>
      <c r="H88" s="119"/>
    </row>
    <row r="89" spans="2:8" ht="15" customHeight="1">
      <c r="B89" s="131">
        <v>45657</v>
      </c>
      <c r="C89" s="580" t="s">
        <v>259</v>
      </c>
      <c r="D89" s="580" t="s">
        <v>149</v>
      </c>
      <c r="E89" s="1258" t="s">
        <v>348</v>
      </c>
      <c r="F89" s="1260" t="s">
        <v>1305</v>
      </c>
      <c r="G89" s="343">
        <v>52201.159999999996</v>
      </c>
    </row>
    <row r="90" spans="2:8" ht="15.75" customHeight="1">
      <c r="B90" s="131">
        <v>45657</v>
      </c>
      <c r="C90" s="580" t="s">
        <v>259</v>
      </c>
      <c r="D90" s="580" t="s">
        <v>149</v>
      </c>
      <c r="E90" s="1258" t="s">
        <v>348</v>
      </c>
      <c r="F90" s="1260" t="s">
        <v>1262</v>
      </c>
      <c r="G90" s="343">
        <v>5863.9900000000007</v>
      </c>
    </row>
    <row r="91" spans="2:8" ht="15.75" customHeight="1">
      <c r="B91" s="131">
        <v>45657</v>
      </c>
      <c r="C91" s="580" t="s">
        <v>259</v>
      </c>
      <c r="D91" s="580" t="s">
        <v>149</v>
      </c>
      <c r="E91" s="1258" t="s">
        <v>348</v>
      </c>
      <c r="F91" s="1260" t="s">
        <v>1263</v>
      </c>
      <c r="G91" s="343">
        <v>5697.2100000000009</v>
      </c>
    </row>
    <row r="92" spans="2:8" ht="15.75" customHeight="1">
      <c r="B92" s="131">
        <v>45657</v>
      </c>
      <c r="C92" s="580" t="s">
        <v>259</v>
      </c>
      <c r="D92" s="580" t="s">
        <v>149</v>
      </c>
      <c r="E92" s="1258" t="s">
        <v>348</v>
      </c>
      <c r="F92" s="1260" t="s">
        <v>1264</v>
      </c>
      <c r="G92" s="343">
        <v>42390.979999999996</v>
      </c>
    </row>
    <row r="93" spans="2:8" ht="15.75" customHeight="1">
      <c r="B93" s="131">
        <v>45657</v>
      </c>
      <c r="C93" s="580" t="s">
        <v>259</v>
      </c>
      <c r="D93" s="580" t="s">
        <v>149</v>
      </c>
      <c r="E93" s="1258" t="s">
        <v>348</v>
      </c>
      <c r="F93" s="1260" t="s">
        <v>1265</v>
      </c>
      <c r="G93" s="343">
        <v>5116.1899999999987</v>
      </c>
    </row>
    <row r="94" spans="2:8" ht="15.75" customHeight="1">
      <c r="B94" s="131">
        <v>45657</v>
      </c>
      <c r="C94" s="580" t="s">
        <v>259</v>
      </c>
      <c r="D94" s="580" t="s">
        <v>149</v>
      </c>
      <c r="E94" s="1258" t="s">
        <v>348</v>
      </c>
      <c r="F94" s="1260" t="s">
        <v>1266</v>
      </c>
      <c r="G94" s="343">
        <v>14278.39</v>
      </c>
    </row>
    <row r="95" spans="2:8" ht="15.75" customHeight="1">
      <c r="B95" s="131">
        <v>45657</v>
      </c>
      <c r="C95" s="580" t="s">
        <v>259</v>
      </c>
      <c r="D95" s="580" t="s">
        <v>149</v>
      </c>
      <c r="E95" s="1258" t="s">
        <v>348</v>
      </c>
      <c r="F95" s="1260" t="s">
        <v>1267</v>
      </c>
      <c r="G95" s="343">
        <v>14476.640000000001</v>
      </c>
    </row>
    <row r="96" spans="2:8" ht="15.75" customHeight="1">
      <c r="B96" s="131">
        <v>45657</v>
      </c>
      <c r="C96" s="580" t="s">
        <v>259</v>
      </c>
      <c r="D96" s="580" t="s">
        <v>149</v>
      </c>
      <c r="E96" s="1258" t="s">
        <v>348</v>
      </c>
      <c r="F96" s="1260" t="s">
        <v>1268</v>
      </c>
      <c r="G96" s="343">
        <v>14833.250000000002</v>
      </c>
    </row>
    <row r="97" spans="2:8" ht="15.75" customHeight="1">
      <c r="B97" s="131">
        <v>45657</v>
      </c>
      <c r="C97" s="580" t="s">
        <v>259</v>
      </c>
      <c r="D97" s="580" t="s">
        <v>149</v>
      </c>
      <c r="E97" s="1258" t="s">
        <v>348</v>
      </c>
      <c r="F97" s="1260" t="s">
        <v>1561</v>
      </c>
      <c r="G97" s="343">
        <v>26138.959999999999</v>
      </c>
    </row>
    <row r="98" spans="2:8" ht="15.75" customHeight="1">
      <c r="B98" s="131">
        <v>45657</v>
      </c>
      <c r="C98" s="580" t="s">
        <v>259</v>
      </c>
      <c r="D98" s="580" t="s">
        <v>149</v>
      </c>
      <c r="E98" s="1258" t="s">
        <v>348</v>
      </c>
      <c r="F98" s="1260" t="s">
        <v>1269</v>
      </c>
      <c r="G98" s="343">
        <v>27820.739999999998</v>
      </c>
    </row>
    <row r="99" spans="2:8" ht="15.75" customHeight="1">
      <c r="B99" s="131">
        <v>45657</v>
      </c>
      <c r="C99" s="580" t="s">
        <v>259</v>
      </c>
      <c r="D99" s="580" t="s">
        <v>149</v>
      </c>
      <c r="E99" s="1258" t="s">
        <v>348</v>
      </c>
      <c r="F99" s="1260" t="s">
        <v>1270</v>
      </c>
      <c r="G99" s="343">
        <v>13549.380000000001</v>
      </c>
    </row>
    <row r="100" spans="2:8" ht="15.75" customHeight="1">
      <c r="B100" s="131">
        <v>45657</v>
      </c>
      <c r="C100" s="580" t="s">
        <v>259</v>
      </c>
      <c r="D100" s="580" t="s">
        <v>149</v>
      </c>
      <c r="E100" s="1258" t="s">
        <v>348</v>
      </c>
      <c r="F100" s="1260" t="s">
        <v>1271</v>
      </c>
      <c r="G100" s="343">
        <v>6931.72</v>
      </c>
    </row>
    <row r="101" spans="2:8" ht="15.75" customHeight="1">
      <c r="B101" s="131">
        <v>45657</v>
      </c>
      <c r="C101" s="580" t="s">
        <v>259</v>
      </c>
      <c r="D101" s="580" t="s">
        <v>149</v>
      </c>
      <c r="E101" s="1258" t="s">
        <v>348</v>
      </c>
      <c r="F101" s="1260" t="s">
        <v>1272</v>
      </c>
      <c r="G101" s="343">
        <v>12131.08</v>
      </c>
    </row>
    <row r="102" spans="2:8" ht="15.75" customHeight="1">
      <c r="B102" s="131">
        <v>45657</v>
      </c>
      <c r="C102" s="580" t="s">
        <v>259</v>
      </c>
      <c r="D102" s="580" t="s">
        <v>149</v>
      </c>
      <c r="E102" s="1258" t="s">
        <v>348</v>
      </c>
      <c r="F102" s="1260" t="s">
        <v>1273</v>
      </c>
      <c r="G102" s="343">
        <v>7527.12</v>
      </c>
    </row>
    <row r="103" spans="2:8" ht="15.75" customHeight="1">
      <c r="B103" s="131">
        <v>45657</v>
      </c>
      <c r="C103" s="580" t="s">
        <v>259</v>
      </c>
      <c r="D103" s="580" t="s">
        <v>149</v>
      </c>
      <c r="E103" s="1258" t="s">
        <v>348</v>
      </c>
      <c r="F103" s="1260" t="s">
        <v>861</v>
      </c>
      <c r="G103" s="343">
        <v>0</v>
      </c>
    </row>
    <row r="104" spans="2:8" ht="15.75" customHeight="1">
      <c r="B104" s="131">
        <v>45657</v>
      </c>
      <c r="C104" s="580" t="s">
        <v>259</v>
      </c>
      <c r="D104" s="580" t="s">
        <v>149</v>
      </c>
      <c r="E104" s="1258" t="s">
        <v>348</v>
      </c>
      <c r="F104" s="1260" t="s">
        <v>861</v>
      </c>
      <c r="G104" s="343">
        <v>0</v>
      </c>
    </row>
    <row r="105" spans="2:8" ht="15.75" customHeight="1">
      <c r="B105" s="131">
        <v>45657</v>
      </c>
      <c r="C105" s="580"/>
      <c r="D105" s="580"/>
      <c r="E105" s="1258"/>
      <c r="F105" s="1260"/>
      <c r="G105" s="343"/>
    </row>
    <row r="106" spans="2:8" ht="15.75" customHeight="1">
      <c r="B106" s="273"/>
      <c r="C106" s="581"/>
      <c r="D106" s="580"/>
      <c r="E106" s="274"/>
      <c r="F106" s="383"/>
      <c r="G106" s="582"/>
    </row>
    <row r="108" spans="2:8" ht="15.75" customHeight="1">
      <c r="E108" s="130"/>
      <c r="F108" s="119"/>
      <c r="G108" s="126"/>
      <c r="H108" s="119"/>
    </row>
    <row r="109" spans="2:8" ht="15.75" customHeight="1">
      <c r="E109" s="130"/>
      <c r="F109" s="233"/>
      <c r="G109" s="583"/>
      <c r="H109" s="119"/>
    </row>
    <row r="110" spans="2:8" ht="15.75" customHeight="1">
      <c r="E110" s="130"/>
      <c r="F110" s="233"/>
      <c r="G110" s="126">
        <f>SUM(G2:G109)</f>
        <v>1.0686562745831907E-9</v>
      </c>
      <c r="H110" s="119"/>
    </row>
    <row r="111" spans="2:8" ht="15.75" customHeight="1">
      <c r="E111" s="130"/>
      <c r="F111" s="233"/>
      <c r="G111" s="436"/>
      <c r="H111" s="119"/>
    </row>
    <row r="112" spans="2:8" ht="15.75" customHeight="1">
      <c r="E112" s="130"/>
      <c r="F112" s="233"/>
      <c r="G112" s="436"/>
      <c r="H112" s="119"/>
    </row>
    <row r="113" spans="5:8" ht="15.75" customHeight="1">
      <c r="E113" s="130"/>
      <c r="F113" s="119"/>
      <c r="G113" s="126"/>
      <c r="H113" s="119"/>
    </row>
    <row r="114" spans="5:8" ht="15.75" customHeight="1">
      <c r="E114" s="130"/>
      <c r="F114" s="119"/>
      <c r="G114" s="126"/>
      <c r="H114" s="119"/>
    </row>
    <row r="115" spans="5:8" ht="15.75" customHeight="1">
      <c r="E115" s="130"/>
      <c r="F115" s="119"/>
      <c r="G115" s="126"/>
      <c r="H115" s="119"/>
    </row>
    <row r="116" spans="5:8" ht="15.75" customHeight="1">
      <c r="E116" s="130"/>
      <c r="F116" s="119"/>
      <c r="G116" s="126"/>
      <c r="H116" s="436"/>
    </row>
    <row r="117" spans="5:8" ht="15.75" customHeight="1">
      <c r="E117" s="130"/>
      <c r="F117" s="119"/>
      <c r="G117" s="126"/>
      <c r="H117" s="119"/>
    </row>
    <row r="118" spans="5:8" ht="15.75" customHeight="1">
      <c r="E118" s="130"/>
      <c r="F118" s="119"/>
      <c r="G118" s="126"/>
      <c r="H118" s="119"/>
    </row>
    <row r="119" spans="5:8" ht="15.75" customHeight="1">
      <c r="E119" s="130"/>
      <c r="F119" s="119"/>
      <c r="G119" s="126"/>
      <c r="H119" s="119"/>
    </row>
    <row r="120" spans="5:8" ht="15.75" customHeight="1">
      <c r="E120" s="130"/>
      <c r="F120" s="119"/>
      <c r="G120" s="126"/>
      <c r="H120" s="119"/>
    </row>
    <row r="121" spans="5:8" ht="15.75" customHeight="1">
      <c r="E121" s="119"/>
      <c r="F121" s="119"/>
      <c r="G121" s="126"/>
      <c r="H121" s="119"/>
    </row>
    <row r="123" spans="5:8" ht="15.75" customHeight="1">
      <c r="E123" s="3" t="s">
        <v>0</v>
      </c>
    </row>
  </sheetData>
  <dataConsolidate/>
  <mergeCells count="3">
    <mergeCell ref="B2:G2"/>
    <mergeCell ref="B3:G3"/>
    <mergeCell ref="B4:G4"/>
  </mergeCells>
  <phoneticPr fontId="69" type="noConversion"/>
  <dataValidations count="1">
    <dataValidation allowBlank="1" sqref="E6" xr:uid="{A41EF3F6-B934-4E68-B9E1-76E6DAEFAC6D}"/>
  </dataValidations>
  <hyperlinks>
    <hyperlink ref="A1" location="'TABLE OF CONTENTS'!A1" display="INDEX" xr:uid="{1398BECF-4F98-42CD-B2FB-CBEED6F5A018}"/>
  </hyperlink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3">
        <x14:dataValidation type="list" allowBlank="1" xr:uid="{E7B02A3B-8590-4CB6-AADF-9704A93BC3C3}">
          <x14:formula1>
            <xm:f>COA!$D$6:$D$176</xm:f>
          </x14:formula1>
          <xm:sqref>G124:G1002 G107:G108 F135:F1002 G116:G117</xm:sqref>
        </x14:dataValidation>
        <x14:dataValidation type="list" allowBlank="1" showInputMessage="1" showErrorMessage="1" xr:uid="{E4CF7490-DFD2-4274-A0E9-1044F7FE03DA}">
          <x14:formula1>
            <xm:f>COA!$D$7:$D$171</xm:f>
          </x14:formula1>
          <xm:sqref>F133:F134</xm:sqref>
        </x14:dataValidation>
        <x14:dataValidation type="list" allowBlank="1" showInputMessage="1" showErrorMessage="1" xr:uid="{2CDF2F67-F741-46D8-BFE9-D2A6BBE6B00A}">
          <x14:formula1>
            <xm:f>COA!$D$7:$D$172</xm:f>
          </x14:formula1>
          <xm:sqref>F9:F132</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2">
    <tabColor rgb="FFFFFF00"/>
    <outlinePr summaryBelow="0" summaryRight="0"/>
    <pageSetUpPr fitToPage="1"/>
  </sheetPr>
  <dimension ref="A1:O316"/>
  <sheetViews>
    <sheetView workbookViewId="0">
      <selection activeCell="B4" sqref="B4"/>
    </sheetView>
  </sheetViews>
  <sheetFormatPr defaultColWidth="12.5703125" defaultRowHeight="15.75" customHeight="1"/>
  <cols>
    <col min="1" max="1" width="19.140625" style="229" customWidth="1"/>
    <col min="2" max="2" width="17.5703125" style="196" customWidth="1"/>
    <col min="3" max="3" width="35.140625" style="196" customWidth="1"/>
    <col min="4" max="4" width="29" style="196" customWidth="1"/>
    <col min="5" max="5" width="10.42578125" style="196" customWidth="1"/>
    <col min="6" max="6" width="10.85546875" style="345" customWidth="1"/>
    <col min="7" max="7" width="10.7109375" style="196" customWidth="1"/>
    <col min="8" max="8" width="14.42578125" style="196" customWidth="1"/>
    <col min="9" max="9" width="23.5703125" style="196" customWidth="1"/>
    <col min="10" max="16384" width="12.5703125" style="196"/>
  </cols>
  <sheetData>
    <row r="1" spans="1:15" ht="15.75" customHeight="1">
      <c r="A1" s="59" t="s">
        <v>1650</v>
      </c>
      <c r="C1" s="196" t="s">
        <v>1068</v>
      </c>
    </row>
    <row r="2" spans="1:15" ht="12.75">
      <c r="B2" s="1340" t="s">
        <v>1486</v>
      </c>
      <c r="C2" s="1340"/>
      <c r="D2" s="1340"/>
      <c r="E2" s="1340"/>
      <c r="F2" s="1341"/>
      <c r="G2" s="1319" t="s">
        <v>200</v>
      </c>
      <c r="H2" s="1295"/>
      <c r="I2" s="1295"/>
      <c r="J2" s="1201" t="s">
        <v>201</v>
      </c>
      <c r="M2" s="27" t="s">
        <v>1085</v>
      </c>
    </row>
    <row r="3" spans="1:15" ht="12">
      <c r="B3" s="346" t="s">
        <v>1069</v>
      </c>
      <c r="C3" s="346"/>
      <c r="D3" s="346"/>
      <c r="E3" s="346"/>
      <c r="F3" s="347"/>
      <c r="G3" s="201"/>
      <c r="H3" s="201"/>
    </row>
    <row r="4" spans="1:15" ht="37.5">
      <c r="A4" s="437" t="s">
        <v>0</v>
      </c>
      <c r="B4" s="348">
        <v>46022</v>
      </c>
      <c r="C4" s="348"/>
      <c r="D4" s="348"/>
      <c r="E4" s="348"/>
      <c r="F4" s="347"/>
      <c r="G4" s="763" t="s">
        <v>0</v>
      </c>
      <c r="H4" s="201"/>
    </row>
    <row r="5" spans="1:15" ht="12">
      <c r="A5" s="229" t="s">
        <v>536</v>
      </c>
      <c r="B5" s="341" t="s">
        <v>0</v>
      </c>
      <c r="C5" s="349"/>
      <c r="D5" s="349"/>
      <c r="E5" s="349"/>
      <c r="F5" s="350" t="s">
        <v>0</v>
      </c>
      <c r="G5" s="351"/>
      <c r="H5" s="351"/>
    </row>
    <row r="6" spans="1:15" ht="12">
      <c r="A6" s="211">
        <v>1</v>
      </c>
      <c r="B6" s="352" t="s">
        <v>370</v>
      </c>
      <c r="C6" s="352" t="s">
        <v>371</v>
      </c>
      <c r="D6" s="352" t="s">
        <v>10</v>
      </c>
      <c r="E6" s="352" t="s">
        <v>271</v>
      </c>
      <c r="F6" s="352" t="s">
        <v>500</v>
      </c>
      <c r="G6" s="352" t="s">
        <v>501</v>
      </c>
      <c r="H6" s="353" t="s">
        <v>671</v>
      </c>
      <c r="I6" s="354" t="s">
        <v>129</v>
      </c>
      <c r="J6" s="352" t="s">
        <v>99</v>
      </c>
      <c r="K6" s="355" t="s">
        <v>79</v>
      </c>
      <c r="L6" s="352" t="s">
        <v>130</v>
      </c>
      <c r="M6" s="352" t="s">
        <v>131</v>
      </c>
      <c r="N6" s="352" t="s">
        <v>132</v>
      </c>
      <c r="O6" s="352" t="s">
        <v>133</v>
      </c>
    </row>
    <row r="7" spans="1:15" ht="12.75">
      <c r="A7" s="211">
        <f>A6+1</f>
        <v>2</v>
      </c>
      <c r="B7" s="196" t="s">
        <v>0</v>
      </c>
      <c r="C7" s="196" t="s">
        <v>0</v>
      </c>
      <c r="D7" s="379" t="s">
        <v>110</v>
      </c>
      <c r="E7" s="344" t="s">
        <v>0</v>
      </c>
      <c r="F7" s="377" t="s">
        <v>0</v>
      </c>
      <c r="G7" s="356" t="str">
        <f t="shared" ref="G7:G8" si="0">CONCATENATE(E7,F7)</f>
        <v xml:space="preserve">  </v>
      </c>
      <c r="H7" s="378" t="s">
        <v>222</v>
      </c>
      <c r="I7" s="226" t="s">
        <v>110</v>
      </c>
      <c r="J7" s="196">
        <f>IFERROR(GETPIVOTDATA("AMOUNT",PT_TB!$B$8, "ACCOUNT", D7), 0)</f>
        <v>0</v>
      </c>
      <c r="K7" s="343">
        <v>0</v>
      </c>
      <c r="L7" s="352"/>
      <c r="M7" s="352"/>
      <c r="N7" s="352"/>
      <c r="O7" s="352"/>
    </row>
    <row r="8" spans="1:15" ht="12.75">
      <c r="A8" s="211">
        <f t="shared" ref="A8:A71" si="1">A7+1</f>
        <v>3</v>
      </c>
      <c r="B8" s="357" t="s">
        <v>1214</v>
      </c>
      <c r="C8" s="202" t="s">
        <v>1215</v>
      </c>
      <c r="D8" s="344" t="str">
        <f>CONCATENATE(B8," ",M_COA[[#This Row],[AccountName]])</f>
        <v>1101 Cash on hand</v>
      </c>
      <c r="E8" s="376" t="s">
        <v>32</v>
      </c>
      <c r="F8" s="377">
        <f>1+COUNTIF(E$5:$F7,E8)+COUNTIF((E$5:$F7),E8=E8)</f>
        <v>1</v>
      </c>
      <c r="G8" s="356" t="str">
        <f t="shared" si="0"/>
        <v>A1</v>
      </c>
      <c r="H8" s="378">
        <v>1002</v>
      </c>
      <c r="I8" s="223" t="s">
        <v>111</v>
      </c>
      <c r="J8" s="196">
        <f>IFERROR(GETPIVOTDATA("AMOUNT",PT_TB!$B$8, "ACCOUNT", D8), 0)</f>
        <v>24875.53</v>
      </c>
      <c r="K8" s="343">
        <v>34282.130000000005</v>
      </c>
      <c r="L8" s="343">
        <v>36243.699999999997</v>
      </c>
      <c r="M8" s="343">
        <v>23855.21</v>
      </c>
      <c r="N8" s="343">
        <v>26303.37</v>
      </c>
      <c r="O8" s="343">
        <v>0</v>
      </c>
    </row>
    <row r="9" spans="1:15" ht="15.75" customHeight="1">
      <c r="A9" s="211">
        <f t="shared" si="1"/>
        <v>4</v>
      </c>
      <c r="B9" s="202" t="s">
        <v>375</v>
      </c>
      <c r="C9" s="202" t="s">
        <v>376</v>
      </c>
      <c r="D9" s="344" t="str">
        <f>CONCATENATE(B9," ",M_COA[[#This Row],[AccountName]])</f>
        <v>1102 General Bank Account</v>
      </c>
      <c r="E9" s="376" t="s">
        <v>32</v>
      </c>
      <c r="F9" s="377">
        <f>1+COUNTIF(E$5:$F8,E9)+COUNTIF((E$5:$F8),E9=E9)</f>
        <v>2</v>
      </c>
      <c r="G9" s="356" t="str">
        <f t="shared" ref="G9:G86" si="2">CONCATENATE(E9,F9)</f>
        <v>A2</v>
      </c>
      <c r="H9" s="378">
        <v>1002</v>
      </c>
      <c r="I9" s="223" t="s">
        <v>111</v>
      </c>
      <c r="J9" s="196">
        <f>IFERROR(GETPIVOTDATA("AMOUNT",PT_TB!$B$8, "ACCOUNT", D9), 0)</f>
        <v>52308.04</v>
      </c>
      <c r="K9" s="343">
        <v>475211.080000002</v>
      </c>
      <c r="L9" s="343">
        <v>372387.97</v>
      </c>
      <c r="M9" s="343">
        <v>195295.41</v>
      </c>
      <c r="N9" s="343">
        <v>126536.97</v>
      </c>
      <c r="O9" s="343">
        <v>0</v>
      </c>
    </row>
    <row r="10" spans="1:15" ht="15.75" customHeight="1">
      <c r="A10" s="211">
        <f t="shared" si="1"/>
        <v>5</v>
      </c>
      <c r="B10" s="202" t="s">
        <v>377</v>
      </c>
      <c r="C10" s="202" t="s">
        <v>378</v>
      </c>
      <c r="D10" s="344" t="str">
        <f>CONCATENATE(B10," ",M_COA[[#This Row],[AccountName]])</f>
        <v>1103 BMO Overdraft</v>
      </c>
      <c r="E10" s="376" t="s">
        <v>32</v>
      </c>
      <c r="F10" s="377">
        <f>1+COUNTIF(E$5:$F9,E10)+COUNTIF((E$5:$F9),E10=E10)</f>
        <v>3</v>
      </c>
      <c r="G10" s="356" t="str">
        <f t="shared" si="2"/>
        <v>A3</v>
      </c>
      <c r="H10" s="378">
        <v>1002</v>
      </c>
      <c r="I10" s="223" t="s">
        <v>111</v>
      </c>
      <c r="J10" s="196">
        <f>IFERROR(GETPIVOTDATA("AMOUNT",PT_TB!$B$8, "ACCOUNT", D10), 0)</f>
        <v>0</v>
      </c>
      <c r="K10" s="343">
        <v>0</v>
      </c>
      <c r="L10" s="343">
        <v>0</v>
      </c>
      <c r="M10" s="343">
        <v>0</v>
      </c>
      <c r="N10" s="343">
        <v>0</v>
      </c>
      <c r="O10" s="343">
        <v>0</v>
      </c>
    </row>
    <row r="11" spans="1:15" ht="15.75" customHeight="1">
      <c r="A11" s="211">
        <f t="shared" si="1"/>
        <v>6</v>
      </c>
      <c r="B11" s="202" t="s">
        <v>379</v>
      </c>
      <c r="C11" s="202" t="s">
        <v>380</v>
      </c>
      <c r="D11" s="344" t="str">
        <f>CONCATENATE(B11," ",M_COA[[#This Row],[AccountName]])</f>
        <v>1119 Bank Transfer Account</v>
      </c>
      <c r="E11" s="376" t="s">
        <v>32</v>
      </c>
      <c r="F11" s="377">
        <f>1+COUNTIF(E$5:$F10,E11)+COUNTIF((E$5:$F10),E11=E11)</f>
        <v>4</v>
      </c>
      <c r="G11" s="356" t="str">
        <f t="shared" si="2"/>
        <v>A4</v>
      </c>
      <c r="H11" s="378">
        <v>1002</v>
      </c>
      <c r="I11" s="223" t="s">
        <v>111</v>
      </c>
      <c r="J11" s="196">
        <f>IFERROR(GETPIVOTDATA("AMOUNT",PT_TB!$B$8, "ACCOUNT", D11), 0)</f>
        <v>0</v>
      </c>
      <c r="K11" s="343">
        <v>0</v>
      </c>
      <c r="L11" s="343">
        <v>0</v>
      </c>
      <c r="M11" s="343">
        <v>0</v>
      </c>
      <c r="N11" s="343">
        <v>0</v>
      </c>
      <c r="O11" s="343">
        <v>0</v>
      </c>
    </row>
    <row r="12" spans="1:15" ht="15.75" customHeight="1">
      <c r="A12" s="211">
        <f t="shared" si="1"/>
        <v>7</v>
      </c>
      <c r="B12" s="202" t="s">
        <v>381</v>
      </c>
      <c r="C12" s="202" t="s">
        <v>850</v>
      </c>
      <c r="D12" s="344" t="str">
        <f>CONCATENATE(B12," ",M_COA[[#This Row],[AccountName]])</f>
        <v>1120 Broker CDN Cash</v>
      </c>
      <c r="E12" s="344" t="s">
        <v>3</v>
      </c>
      <c r="F12" s="377">
        <f>1+COUNTIF(E$5:$F11,E12)+COUNTIF((E$5:$F11),E12=E12)</f>
        <v>1</v>
      </c>
      <c r="G12" s="356" t="str">
        <f t="shared" si="2"/>
        <v>B1</v>
      </c>
      <c r="H12" s="378">
        <v>1180</v>
      </c>
      <c r="I12" s="223" t="s">
        <v>134</v>
      </c>
      <c r="J12" s="196">
        <f>IFERROR(GETPIVOTDATA("AMOUNT",PT_TB!$B$8, "ACCOUNT", D12), 0)</f>
        <v>155.05000000000109</v>
      </c>
      <c r="K12" s="773">
        <v>2778.58</v>
      </c>
      <c r="L12" s="343">
        <v>0</v>
      </c>
      <c r="M12" s="343">
        <v>0</v>
      </c>
      <c r="N12" s="343">
        <v>0</v>
      </c>
      <c r="O12" s="343">
        <v>0</v>
      </c>
    </row>
    <row r="13" spans="1:15" ht="15.75" customHeight="1">
      <c r="A13" s="211">
        <f t="shared" si="1"/>
        <v>8</v>
      </c>
      <c r="B13" s="202" t="s">
        <v>382</v>
      </c>
      <c r="C13" s="202" t="s">
        <v>849</v>
      </c>
      <c r="D13" s="344" t="str">
        <f>CONCATENATE(B13," ",M_COA[[#This Row],[AccountName]])</f>
        <v>1121 Broker US Cash</v>
      </c>
      <c r="E13" s="344" t="s">
        <v>3</v>
      </c>
      <c r="F13" s="377">
        <f>1+COUNTIF(E$5:$F12,E13)+COUNTIF((E$5:$F12),E13=E13)</f>
        <v>2</v>
      </c>
      <c r="G13" s="356" t="str">
        <f t="shared" si="2"/>
        <v>B2</v>
      </c>
      <c r="H13" s="378">
        <v>1180</v>
      </c>
      <c r="I13" s="223" t="s">
        <v>134</v>
      </c>
      <c r="J13" s="196">
        <f>IFERROR(GETPIVOTDATA("AMOUNT",PT_TB!$B$8, "ACCOUNT", D13), 0)</f>
        <v>-22252.449999999997</v>
      </c>
      <c r="K13" s="190">
        <v>176.75</v>
      </c>
      <c r="L13" s="343">
        <v>0</v>
      </c>
      <c r="M13" s="343">
        <v>0</v>
      </c>
      <c r="N13" s="343">
        <v>0</v>
      </c>
      <c r="O13" s="343">
        <v>0</v>
      </c>
    </row>
    <row r="14" spans="1:15" ht="15.75" customHeight="1">
      <c r="A14" s="211">
        <f t="shared" si="1"/>
        <v>9</v>
      </c>
      <c r="B14" s="202" t="s">
        <v>383</v>
      </c>
      <c r="C14" s="202" t="s">
        <v>852</v>
      </c>
      <c r="D14" s="344" t="str">
        <f>CONCATENATE(B14," ",M_COA[[#This Row],[AccountName]])</f>
        <v>1131 Broker CDN Securities</v>
      </c>
      <c r="E14" s="344" t="s">
        <v>3</v>
      </c>
      <c r="F14" s="377">
        <f>1+COUNTIF(E$5:$F13,E14)+COUNTIF((E$5:$F13),E14=E14)</f>
        <v>3</v>
      </c>
      <c r="G14" s="356" t="str">
        <f t="shared" si="2"/>
        <v>B3</v>
      </c>
      <c r="H14" s="378">
        <v>1180</v>
      </c>
      <c r="I14" s="223" t="s">
        <v>134</v>
      </c>
      <c r="J14" s="196">
        <f>IFERROR(GETPIVOTDATA("AMOUNT",PT_TB!$B$8, "ACCOUNT", D14), 0)</f>
        <v>25912.750000000022</v>
      </c>
      <c r="K14" s="436">
        <v>22661.040000000001</v>
      </c>
      <c r="L14" s="343">
        <v>0</v>
      </c>
      <c r="M14" s="343">
        <v>0</v>
      </c>
      <c r="N14" s="343">
        <v>130958.61</v>
      </c>
      <c r="O14" s="343">
        <v>0</v>
      </c>
    </row>
    <row r="15" spans="1:15" ht="15.75" customHeight="1">
      <c r="A15" s="211">
        <f t="shared" si="1"/>
        <v>10</v>
      </c>
      <c r="B15" s="202" t="s">
        <v>384</v>
      </c>
      <c r="C15" s="202" t="s">
        <v>851</v>
      </c>
      <c r="D15" s="344" t="str">
        <f>CONCATENATE(B15," ",M_COA[[#This Row],[AccountName]])</f>
        <v>1132 Broker US Securities</v>
      </c>
      <c r="E15" s="344" t="s">
        <v>3</v>
      </c>
      <c r="F15" s="377">
        <f>1+COUNTIF(E$5:$F14,E15)+COUNTIF((E$5:$F14),E15=E15)</f>
        <v>4</v>
      </c>
      <c r="G15" s="356" t="str">
        <f t="shared" si="2"/>
        <v>B4</v>
      </c>
      <c r="H15" s="378">
        <v>1180</v>
      </c>
      <c r="I15" s="223" t="s">
        <v>134</v>
      </c>
      <c r="J15" s="196">
        <f>IFERROR(GETPIVOTDATA("AMOUNT",PT_TB!$B$8, "ACCOUNT", D15), 0)</f>
        <v>114436.93</v>
      </c>
      <c r="K15" s="190">
        <v>94233.040000000008</v>
      </c>
      <c r="L15" s="343">
        <v>0</v>
      </c>
      <c r="M15" s="343">
        <v>0</v>
      </c>
      <c r="N15" s="343">
        <v>0</v>
      </c>
      <c r="O15" s="343">
        <v>0</v>
      </c>
    </row>
    <row r="16" spans="1:15" ht="15.75" customHeight="1">
      <c r="A16" s="211">
        <f t="shared" si="1"/>
        <v>11</v>
      </c>
      <c r="B16" s="202" t="s">
        <v>385</v>
      </c>
      <c r="C16" s="202" t="s">
        <v>386</v>
      </c>
      <c r="D16" s="344" t="str">
        <f>CONCATENATE(B16," ",M_COA[[#This Row],[AccountName]])</f>
        <v>1139 Exchange/mark to market</v>
      </c>
      <c r="E16" s="344" t="s">
        <v>3</v>
      </c>
      <c r="F16" s="377">
        <f>1+COUNTIF(E$5:$F15,E16)+COUNTIF((E$5:$F15),E16=E16)</f>
        <v>5</v>
      </c>
      <c r="G16" s="356" t="str">
        <f t="shared" si="2"/>
        <v>B5</v>
      </c>
      <c r="H16" s="378">
        <v>1180</v>
      </c>
      <c r="I16" s="223" t="s">
        <v>134</v>
      </c>
      <c r="J16" s="196">
        <f>IFERROR(GETPIVOTDATA("AMOUNT",PT_TB!$B$8, "ACCOUNT", D16), 0)</f>
        <v>18415</v>
      </c>
      <c r="K16" s="190">
        <v>0</v>
      </c>
      <c r="L16" s="343">
        <v>0</v>
      </c>
      <c r="M16" s="343">
        <v>0</v>
      </c>
      <c r="N16" s="343">
        <v>0</v>
      </c>
      <c r="O16" s="343">
        <v>0</v>
      </c>
    </row>
    <row r="17" spans="1:15" ht="15.75" customHeight="1">
      <c r="A17" s="211">
        <f t="shared" si="1"/>
        <v>12</v>
      </c>
      <c r="B17" s="202" t="s">
        <v>387</v>
      </c>
      <c r="C17" s="202" t="s">
        <v>372</v>
      </c>
      <c r="D17" s="344" t="str">
        <f>CONCATENATE(B17," ",M_COA[[#This Row],[AccountName]])</f>
        <v>1140 Accounts Receivable</v>
      </c>
      <c r="E17" s="344" t="s">
        <v>33</v>
      </c>
      <c r="F17" s="377">
        <f>1+COUNTIF(E$5:$F16,E17)+COUNTIF((E$5:$F16),E17=E17)</f>
        <v>1</v>
      </c>
      <c r="G17" s="356" t="str">
        <f t="shared" si="2"/>
        <v>C1</v>
      </c>
      <c r="H17" s="378">
        <v>1060</v>
      </c>
      <c r="I17" s="223" t="s">
        <v>112</v>
      </c>
      <c r="J17" s="196">
        <f>IFERROR(GETPIVOTDATA("AMOUNT",PT_TB!$B$8, "ACCOUNT", D17), 0)</f>
        <v>8572.5</v>
      </c>
      <c r="K17" s="774">
        <v>0</v>
      </c>
      <c r="L17" s="343">
        <v>9705.74</v>
      </c>
      <c r="M17" s="343">
        <v>5158.74</v>
      </c>
      <c r="N17" s="343">
        <v>14015.44</v>
      </c>
      <c r="O17" s="343">
        <v>0</v>
      </c>
    </row>
    <row r="18" spans="1:15" ht="15.75" customHeight="1">
      <c r="A18" s="211">
        <f t="shared" si="1"/>
        <v>13</v>
      </c>
      <c r="B18" s="357" t="s">
        <v>716</v>
      </c>
      <c r="C18" s="202" t="s">
        <v>717</v>
      </c>
      <c r="D18" s="344" t="str">
        <f>CONCATENATE(B18," ",M_COA[[#This Row],[AccountName]])</f>
        <v>1141 Miscellaneous receivables</v>
      </c>
      <c r="E18" s="344" t="s">
        <v>33</v>
      </c>
      <c r="F18" s="377">
        <f>1+COUNTIF(E$5:$F17,E18)+COUNTIF((E$5:$F17),E18=E18)</f>
        <v>2</v>
      </c>
      <c r="G18" s="356" t="str">
        <f t="shared" ref="G18" si="3">CONCATENATE(E18,F18)</f>
        <v>C2</v>
      </c>
      <c r="H18" s="378">
        <v>1060</v>
      </c>
      <c r="I18" s="223" t="s">
        <v>112</v>
      </c>
      <c r="J18" s="196">
        <f>IFERROR(GETPIVOTDATA("AMOUNT",PT_TB!$B$8, "ACCOUNT", D18), 0)</f>
        <v>44826.559999999998</v>
      </c>
      <c r="K18" s="343">
        <v>14544.09</v>
      </c>
      <c r="L18" s="343">
        <v>0</v>
      </c>
      <c r="M18" s="343">
        <v>0</v>
      </c>
      <c r="N18" s="343">
        <v>0</v>
      </c>
      <c r="O18" s="343">
        <v>0</v>
      </c>
    </row>
    <row r="19" spans="1:15" ht="15.75" customHeight="1">
      <c r="A19" s="211">
        <f t="shared" si="1"/>
        <v>14</v>
      </c>
      <c r="B19" s="480" t="s">
        <v>502</v>
      </c>
      <c r="C19" s="433" t="s">
        <v>503</v>
      </c>
      <c r="D19" s="344" t="str">
        <f>CONCATENATE(B19," ",M_COA[[#This Row],[AccountName]])</f>
        <v>1146 Acct Rec - Shareholder</v>
      </c>
      <c r="E19" s="344" t="s">
        <v>275</v>
      </c>
      <c r="F19" s="377">
        <f>1+COUNTIF(E$5:$F18,E19)+COUNTIF((E$5:$F18),E19=E19)</f>
        <v>1</v>
      </c>
      <c r="G19" s="356" t="str">
        <f t="shared" si="2"/>
        <v>GG1</v>
      </c>
      <c r="H19" s="378">
        <v>1146</v>
      </c>
      <c r="I19" s="433" t="s">
        <v>503</v>
      </c>
      <c r="J19" s="196">
        <f>IFERROR(GETPIVOTDATA("AMOUNT",PT_TB!$B$8, "ACCOUNT", D19), 0)</f>
        <v>0</v>
      </c>
      <c r="K19" s="343">
        <v>0</v>
      </c>
      <c r="L19" s="343">
        <v>0</v>
      </c>
      <c r="M19" s="343">
        <v>0</v>
      </c>
      <c r="N19" s="343">
        <v>0</v>
      </c>
      <c r="O19" s="343">
        <v>0</v>
      </c>
    </row>
    <row r="20" spans="1:15" ht="15.75" customHeight="1">
      <c r="A20" s="211">
        <f t="shared" si="1"/>
        <v>15</v>
      </c>
      <c r="B20" s="480" t="s">
        <v>1142</v>
      </c>
      <c r="C20" s="433" t="s">
        <v>1216</v>
      </c>
      <c r="D20" s="344" t="str">
        <f>CONCATENATE(B20," ",M_COA[[#This Row],[AccountName]])</f>
        <v>1300 Inventory</v>
      </c>
      <c r="E20" s="344" t="s">
        <v>34</v>
      </c>
      <c r="F20" s="377">
        <f>1+COUNTIF(E$5:$F19,E20)+COUNTIF((E$5:$F19),E20=E20)</f>
        <v>1</v>
      </c>
      <c r="G20" s="356" t="str">
        <f t="shared" ref="G20" si="4">CONCATENATE(E20,F20)</f>
        <v>D1</v>
      </c>
      <c r="H20" s="378">
        <v>1121</v>
      </c>
      <c r="I20" s="433" t="s">
        <v>1216</v>
      </c>
      <c r="J20" s="196">
        <f>IFERROR(GETPIVOTDATA("AMOUNT",PT_TB!$B$8, "ACCOUNT", D20), 0)</f>
        <v>38349.980000000003</v>
      </c>
      <c r="K20" s="343">
        <v>49573.120000000003</v>
      </c>
      <c r="L20" s="343">
        <v>39575.280000000006</v>
      </c>
      <c r="M20" s="343">
        <v>39575.280000000006</v>
      </c>
      <c r="N20" s="343">
        <v>35716.689999999995</v>
      </c>
      <c r="O20" s="343">
        <v>0</v>
      </c>
    </row>
    <row r="21" spans="1:15" ht="15.75" customHeight="1">
      <c r="A21" s="211">
        <f t="shared" si="1"/>
        <v>16</v>
      </c>
      <c r="B21" s="480" t="s">
        <v>1143</v>
      </c>
      <c r="C21" s="433" t="s">
        <v>1217</v>
      </c>
      <c r="D21" s="344" t="str">
        <f>CONCATENATE(B21," ",M_COA[[#This Row],[AccountName]])</f>
        <v>1484 Prepaid expenses</v>
      </c>
      <c r="E21" s="344" t="s">
        <v>34</v>
      </c>
      <c r="F21" s="377">
        <f>1+COUNTIF(E$5:$F20,E21)+COUNTIF((E$5:$F20),E21=E21)</f>
        <v>2</v>
      </c>
      <c r="G21" s="356" t="str">
        <f t="shared" ref="G21" si="5">CONCATENATE(E21,F21)</f>
        <v>D2</v>
      </c>
      <c r="H21" s="378">
        <v>1484</v>
      </c>
      <c r="I21" s="433" t="s">
        <v>1218</v>
      </c>
      <c r="J21" s="196">
        <f>IFERROR(GETPIVOTDATA("AMOUNT",PT_TB!$B$8, "ACCOUNT", D21), 0)</f>
        <v>9931.6200000000008</v>
      </c>
      <c r="K21" s="343">
        <v>9432.98</v>
      </c>
      <c r="L21" s="343">
        <v>8215.94</v>
      </c>
      <c r="M21" s="343">
        <v>29115.27</v>
      </c>
      <c r="N21" s="343">
        <v>32580.21</v>
      </c>
      <c r="O21" s="343">
        <v>0</v>
      </c>
    </row>
    <row r="22" spans="1:15" ht="15.75" customHeight="1">
      <c r="A22" s="211" t="s">
        <v>0</v>
      </c>
      <c r="B22" s="196" t="s">
        <v>0</v>
      </c>
      <c r="C22" s="196" t="s">
        <v>0</v>
      </c>
      <c r="D22" s="226" t="s">
        <v>264</v>
      </c>
      <c r="E22" s="344" t="s">
        <v>0</v>
      </c>
      <c r="F22" s="719" t="s">
        <v>0</v>
      </c>
      <c r="G22" s="356" t="str">
        <f t="shared" si="2"/>
        <v xml:space="preserve">  </v>
      </c>
      <c r="H22" s="378" t="s">
        <v>223</v>
      </c>
      <c r="I22" s="226" t="s">
        <v>264</v>
      </c>
      <c r="J22" s="196">
        <f>IFERROR(GETPIVOTDATA("AMOUNT",PT_TB!$B$8, "ACCOUNT", D22), 0)</f>
        <v>0</v>
      </c>
      <c r="K22" s="343">
        <v>0</v>
      </c>
      <c r="L22" s="343">
        <v>0</v>
      </c>
      <c r="M22" s="343">
        <v>0</v>
      </c>
      <c r="N22" s="343">
        <v>0</v>
      </c>
      <c r="O22" s="343">
        <v>0</v>
      </c>
    </row>
    <row r="23" spans="1:15" ht="15.75" customHeight="1">
      <c r="A23" s="211">
        <v>17</v>
      </c>
      <c r="B23" s="202" t="s">
        <v>388</v>
      </c>
      <c r="C23" s="202" t="s">
        <v>61</v>
      </c>
      <c r="D23" s="344" t="str">
        <f>CONCATENATE(B23," ",M_COA[[#This Row],[AccountName]])</f>
        <v>1600 Land</v>
      </c>
      <c r="E23" s="344" t="s">
        <v>50</v>
      </c>
      <c r="F23" s="377">
        <v>1</v>
      </c>
      <c r="G23" s="356" t="str">
        <f t="shared" si="2"/>
        <v>U1</v>
      </c>
      <c r="H23" s="378">
        <v>1600</v>
      </c>
      <c r="I23" s="223" t="s">
        <v>61</v>
      </c>
      <c r="J23" s="196">
        <f>IFERROR(GETPIVOTDATA("AMOUNT",PT_TB!$B$8, "ACCOUNT", D23), 0)</f>
        <v>0</v>
      </c>
      <c r="K23" s="343">
        <v>0</v>
      </c>
      <c r="L23" s="343">
        <v>0</v>
      </c>
      <c r="M23" s="343">
        <v>0</v>
      </c>
      <c r="N23" s="343">
        <v>0</v>
      </c>
      <c r="O23" s="343">
        <v>0</v>
      </c>
    </row>
    <row r="24" spans="1:15" ht="15.75" customHeight="1">
      <c r="A24" s="211">
        <f>A23+1</f>
        <v>18</v>
      </c>
      <c r="B24" s="202" t="s">
        <v>389</v>
      </c>
      <c r="C24" s="202" t="s">
        <v>63</v>
      </c>
      <c r="D24" s="344" t="str">
        <f>CONCATENATE(B24," ",M_COA[[#This Row],[AccountName]])</f>
        <v>1680 Building</v>
      </c>
      <c r="E24" s="344" t="s">
        <v>50</v>
      </c>
      <c r="F24" s="377">
        <f>1+COUNTIF(E$5:$F23,E24)+COUNTIF((E$5:$F23),E24=E24)</f>
        <v>2</v>
      </c>
      <c r="G24" s="356" t="str">
        <f t="shared" si="2"/>
        <v>U2</v>
      </c>
      <c r="H24" s="378">
        <v>1680</v>
      </c>
      <c r="I24" s="223" t="s">
        <v>63</v>
      </c>
      <c r="J24" s="196">
        <f>IFERROR(GETPIVOTDATA("AMOUNT",PT_TB!$B$8, "ACCOUNT", D24), 0)</f>
        <v>0</v>
      </c>
      <c r="K24" s="343">
        <v>0</v>
      </c>
      <c r="L24" s="343">
        <v>0</v>
      </c>
      <c r="M24" s="343">
        <v>0</v>
      </c>
      <c r="N24" s="343">
        <v>0</v>
      </c>
      <c r="O24" s="343">
        <v>0</v>
      </c>
    </row>
    <row r="25" spans="1:15" ht="15.75" customHeight="1">
      <c r="A25" s="211">
        <f t="shared" ref="A25:A40" si="6">A24+1</f>
        <v>19</v>
      </c>
      <c r="B25" s="196" t="s">
        <v>390</v>
      </c>
      <c r="C25" s="196" t="s">
        <v>1479</v>
      </c>
      <c r="D25" s="344" t="str">
        <f>CONCATENATE(B25," ",M_COA[[#This Row],[AccountName]])</f>
        <v>1681  Building  accumulated amortization</v>
      </c>
      <c r="E25" s="344" t="s">
        <v>50</v>
      </c>
      <c r="F25" s="377">
        <f>1+COUNTIF(E$5:$F24,E25)+COUNTIF((E$5:$F24),E25=E25)</f>
        <v>3</v>
      </c>
      <c r="G25" s="356" t="str">
        <f t="shared" si="2"/>
        <v>U3</v>
      </c>
      <c r="H25" s="378">
        <v>1681</v>
      </c>
      <c r="I25" s="223" t="s">
        <v>288</v>
      </c>
      <c r="J25" s="196">
        <f>IFERROR(GETPIVOTDATA("AMOUNT",PT_TB!$B$8, "ACCOUNT", D25), 0)</f>
        <v>0</v>
      </c>
      <c r="K25" s="343">
        <v>0</v>
      </c>
      <c r="L25" s="343">
        <v>0</v>
      </c>
      <c r="M25" s="343">
        <v>0</v>
      </c>
      <c r="N25" s="343">
        <v>0</v>
      </c>
      <c r="O25" s="343">
        <v>0</v>
      </c>
    </row>
    <row r="26" spans="1:15" ht="15.75" customHeight="1">
      <c r="A26" s="211">
        <f t="shared" si="6"/>
        <v>20</v>
      </c>
      <c r="B26" s="202" t="s">
        <v>391</v>
      </c>
      <c r="C26" s="202" t="s">
        <v>69</v>
      </c>
      <c r="D26" s="344" t="str">
        <f>CONCATENATE(B26," ",M_COA[[#This Row],[AccountName]])</f>
        <v>1740 Furniture</v>
      </c>
      <c r="E26" s="344" t="s">
        <v>50</v>
      </c>
      <c r="F26" s="377">
        <f>1+COUNTIF(E$5:$F25,E26)+COUNTIF((E$5:$F25),E26=E26)</f>
        <v>4</v>
      </c>
      <c r="G26" s="356" t="str">
        <f t="shared" si="2"/>
        <v>U4</v>
      </c>
      <c r="H26" s="378">
        <v>1787</v>
      </c>
      <c r="I26" s="223" t="s">
        <v>69</v>
      </c>
      <c r="J26" s="196">
        <f>IFERROR(GETPIVOTDATA("AMOUNT",PT_TB!$B$8, "ACCOUNT", D26), 0)</f>
        <v>0</v>
      </c>
      <c r="K26" s="343">
        <v>0</v>
      </c>
      <c r="L26" s="343">
        <v>0</v>
      </c>
      <c r="M26" s="343">
        <v>0</v>
      </c>
      <c r="N26" s="343">
        <v>0</v>
      </c>
      <c r="O26" s="343">
        <v>0</v>
      </c>
    </row>
    <row r="27" spans="1:15" ht="15.75" customHeight="1">
      <c r="A27" s="211">
        <f t="shared" si="6"/>
        <v>21</v>
      </c>
      <c r="B27" s="202" t="s">
        <v>392</v>
      </c>
      <c r="C27" s="202" t="s">
        <v>393</v>
      </c>
      <c r="D27" s="344" t="str">
        <f>CONCATENATE(B27," ",M_COA[[#This Row],[AccountName]])</f>
        <v>1741 Furniture accumulated amortization</v>
      </c>
      <c r="E27" s="344" t="s">
        <v>50</v>
      </c>
      <c r="F27" s="377">
        <f>1+COUNTIF(E$5:$F26,E27)+COUNTIF((E$5:$F26),E27=E27)</f>
        <v>5</v>
      </c>
      <c r="G27" s="356" t="str">
        <f t="shared" si="2"/>
        <v>U5</v>
      </c>
      <c r="H27" s="378">
        <v>1788</v>
      </c>
      <c r="I27" s="223" t="s">
        <v>289</v>
      </c>
      <c r="J27" s="196">
        <f>IFERROR(GETPIVOTDATA("AMOUNT",PT_TB!$B$8, "ACCOUNT", D27), 0)</f>
        <v>0</v>
      </c>
      <c r="K27" s="343">
        <v>0</v>
      </c>
      <c r="L27" s="343">
        <v>0</v>
      </c>
      <c r="M27" s="343">
        <v>0</v>
      </c>
      <c r="N27" s="343">
        <v>0</v>
      </c>
      <c r="O27" s="343">
        <v>0</v>
      </c>
    </row>
    <row r="28" spans="1:15" ht="15.75" customHeight="1">
      <c r="A28" s="211">
        <f t="shared" si="6"/>
        <v>22</v>
      </c>
      <c r="B28" s="480" t="s">
        <v>551</v>
      </c>
      <c r="C28" s="229" t="s">
        <v>596</v>
      </c>
      <c r="D28" s="344" t="str">
        <f>CONCATENATE(B28," ",M_COA[[#This Row],[AccountName]])</f>
        <v>1742 Automobile</v>
      </c>
      <c r="E28" s="344" t="s">
        <v>50</v>
      </c>
      <c r="F28" s="377">
        <f>1+COUNTIF(E$5:$F27,E28)+COUNTIF((E$5:$F27),E28=E28)</f>
        <v>6</v>
      </c>
      <c r="G28" s="356" t="str">
        <f>CONCATENATE(E28,F28)</f>
        <v>U6</v>
      </c>
      <c r="H28" s="378">
        <v>1742</v>
      </c>
      <c r="I28" s="229" t="s">
        <v>596</v>
      </c>
      <c r="J28" s="196">
        <f>IFERROR(GETPIVOTDATA("AMOUNT",PT_TB!$B$8, "ACCOUNT", D28), 0)</f>
        <v>32594.05</v>
      </c>
      <c r="K28" s="343">
        <v>62299</v>
      </c>
      <c r="L28" s="343">
        <v>62299</v>
      </c>
      <c r="M28" s="343">
        <v>62299</v>
      </c>
      <c r="N28" s="343">
        <v>62299</v>
      </c>
      <c r="O28" s="343">
        <v>0</v>
      </c>
    </row>
    <row r="29" spans="1:15" ht="15.75" customHeight="1">
      <c r="A29" s="211">
        <f t="shared" si="6"/>
        <v>23</v>
      </c>
      <c r="B29" s="480" t="s">
        <v>552</v>
      </c>
      <c r="C29" s="229" t="s">
        <v>1413</v>
      </c>
      <c r="D29" s="344" t="str">
        <f>CONCATENATE(B29," ",M_COA[[#This Row],[AccountName]])</f>
        <v>1743 Automobile:Accum Dep</v>
      </c>
      <c r="E29" s="344" t="s">
        <v>50</v>
      </c>
      <c r="F29" s="377">
        <f>1+COUNTIF(E$5:$F28,E29)+COUNTIF((E$5:$F28),E29=E29)</f>
        <v>7</v>
      </c>
      <c r="G29" s="356" t="str">
        <f>CONCATENATE(E29,F29)</f>
        <v>U7</v>
      </c>
      <c r="H29" s="378">
        <v>1743</v>
      </c>
      <c r="I29" s="224" t="s">
        <v>1425</v>
      </c>
      <c r="J29" s="196">
        <f>IFERROR(GETPIVOTDATA("AMOUNT",PT_TB!$B$8, "ACCOUNT", D29), 0)</f>
        <v>-29116.629999999997</v>
      </c>
      <c r="K29" s="343">
        <v>-39657</v>
      </c>
      <c r="L29" s="343">
        <f>-32531</f>
        <v>-32531</v>
      </c>
      <c r="M29" s="343">
        <v>-25231.1</v>
      </c>
      <c r="N29" s="343">
        <v>-9344.85</v>
      </c>
      <c r="O29" s="343">
        <v>0</v>
      </c>
    </row>
    <row r="30" spans="1:15" ht="15.75" customHeight="1">
      <c r="A30" s="211">
        <f t="shared" si="6"/>
        <v>24</v>
      </c>
      <c r="B30" s="202" t="s">
        <v>394</v>
      </c>
      <c r="C30" s="202" t="s">
        <v>70</v>
      </c>
      <c r="D30" s="344" t="str">
        <f>CONCATENATE(B30," ",M_COA[[#This Row],[AccountName]])</f>
        <v>1774 Computer</v>
      </c>
      <c r="E30" s="344" t="s">
        <v>50</v>
      </c>
      <c r="F30" s="377">
        <f>1+COUNTIF(E$5:$F29,E30)+COUNTIF((E$5:$F29),E30=E30)</f>
        <v>8</v>
      </c>
      <c r="G30" s="356" t="str">
        <f t="shared" si="2"/>
        <v>U8</v>
      </c>
      <c r="H30" s="378">
        <v>1774</v>
      </c>
      <c r="I30" s="223" t="s">
        <v>70</v>
      </c>
      <c r="J30" s="196">
        <f>IFERROR(GETPIVOTDATA("AMOUNT",PT_TB!$B$8, "ACCOUNT", D30), 0)</f>
        <v>88951.72</v>
      </c>
      <c r="K30" s="343">
        <v>74884.72</v>
      </c>
      <c r="L30" s="343">
        <v>69657.820000000007</v>
      </c>
      <c r="M30" s="343">
        <v>36535</v>
      </c>
      <c r="N30" s="343">
        <v>29697.309999999998</v>
      </c>
      <c r="O30" s="343">
        <v>0</v>
      </c>
    </row>
    <row r="31" spans="1:15" ht="15.75" customHeight="1">
      <c r="A31" s="211">
        <f t="shared" si="6"/>
        <v>25</v>
      </c>
      <c r="B31" s="202" t="s">
        <v>395</v>
      </c>
      <c r="C31" s="202" t="s">
        <v>396</v>
      </c>
      <c r="D31" s="344" t="str">
        <f>CONCATENATE(B31," ",M_COA[[#This Row],[AccountName]])</f>
        <v>1775 Computer accumulated amortization</v>
      </c>
      <c r="E31" s="344" t="s">
        <v>50</v>
      </c>
      <c r="F31" s="377">
        <f>1+COUNTIF(E$5:$F30,E31)+COUNTIF((E$5:$F30),E31=E31)</f>
        <v>9</v>
      </c>
      <c r="G31" s="356" t="str">
        <f t="shared" si="2"/>
        <v>U9</v>
      </c>
      <c r="H31" s="378">
        <v>1775</v>
      </c>
      <c r="I31" s="223" t="s">
        <v>290</v>
      </c>
      <c r="J31" s="196">
        <f>IFERROR(GETPIVOTDATA("AMOUNT",PT_TB!$B$8, "ACCOUNT", D31), 0)</f>
        <v>-63486.54</v>
      </c>
      <c r="K31" s="343">
        <v>-55587.25</v>
      </c>
      <c r="L31" s="343">
        <v>-37525</v>
      </c>
      <c r="M31" s="343">
        <v>-19700.57</v>
      </c>
      <c r="N31" s="343">
        <v>-1939.2</v>
      </c>
      <c r="O31" s="343">
        <v>0</v>
      </c>
    </row>
    <row r="32" spans="1:15" ht="15.75" customHeight="1">
      <c r="A32" s="211">
        <f t="shared" si="6"/>
        <v>26</v>
      </c>
      <c r="B32" s="202" t="s">
        <v>397</v>
      </c>
      <c r="C32" s="202" t="s">
        <v>398</v>
      </c>
      <c r="D32" s="344" t="str">
        <f>CONCATENATE(B32," ",M_COA[[#This Row],[AccountName]])</f>
        <v xml:space="preserve">1787 Equipment </v>
      </c>
      <c r="E32" s="344" t="s">
        <v>50</v>
      </c>
      <c r="F32" s="377">
        <f>1+COUNTIF(E$5:$F31,E32)+COUNTIF((E$5:$F31),E32=E32)</f>
        <v>10</v>
      </c>
      <c r="G32" s="356" t="str">
        <f t="shared" si="2"/>
        <v>U10</v>
      </c>
      <c r="H32" s="378">
        <v>1740</v>
      </c>
      <c r="I32" s="223" t="s">
        <v>291</v>
      </c>
      <c r="J32" s="196">
        <f>IFERROR(GETPIVOTDATA("AMOUNT",PT_TB!$B$8, "ACCOUNT", D32), 0)</f>
        <v>907431.02</v>
      </c>
      <c r="K32" s="343">
        <v>847988.02999999991</v>
      </c>
      <c r="L32" s="343">
        <v>991494.21999999986</v>
      </c>
      <c r="M32" s="343">
        <v>944907.11</v>
      </c>
      <c r="N32" s="343">
        <v>966587.16999999993</v>
      </c>
      <c r="O32" s="343">
        <v>0</v>
      </c>
    </row>
    <row r="33" spans="1:15" ht="15.75" customHeight="1">
      <c r="A33" s="211">
        <f t="shared" si="6"/>
        <v>27</v>
      </c>
      <c r="B33" s="202" t="s">
        <v>399</v>
      </c>
      <c r="C33" s="202" t="s">
        <v>400</v>
      </c>
      <c r="D33" s="344" t="str">
        <f>CONCATENATE(B33," ",M_COA[[#This Row],[AccountName]])</f>
        <v>1788 Equipment accumulated amortization</v>
      </c>
      <c r="E33" s="344" t="s">
        <v>50</v>
      </c>
      <c r="F33" s="377">
        <f>1+COUNTIF(E$5:$F32,E33)+COUNTIF((E$5:$F32),E33=E33)</f>
        <v>11</v>
      </c>
      <c r="G33" s="356" t="str">
        <f t="shared" si="2"/>
        <v>U11</v>
      </c>
      <c r="H33" s="378">
        <v>1741</v>
      </c>
      <c r="I33" s="223" t="s">
        <v>292</v>
      </c>
      <c r="J33" s="196">
        <f>IFERROR(GETPIVOTDATA("AMOUNT",PT_TB!$B$8, "ACCOUNT", D33), 0)</f>
        <v>-637005.93000000005</v>
      </c>
      <c r="K33" s="343">
        <v>-576830.03</v>
      </c>
      <c r="L33" s="343">
        <v>-467852</v>
      </c>
      <c r="M33" s="343">
        <v>-439900.68</v>
      </c>
      <c r="N33" s="343">
        <v>-521635.28</v>
      </c>
      <c r="O33" s="343">
        <v>0</v>
      </c>
    </row>
    <row r="34" spans="1:15" ht="15.75" customHeight="1">
      <c r="A34" s="211">
        <f t="shared" si="6"/>
        <v>28</v>
      </c>
      <c r="B34" s="357" t="s">
        <v>1144</v>
      </c>
      <c r="C34" s="202" t="s">
        <v>1480</v>
      </c>
      <c r="D34" s="344" t="str">
        <f>CONCATENATE(B34," ",M_COA[[#This Row],[AccountName]])</f>
        <v xml:space="preserve">1918 Leasehold improvements </v>
      </c>
      <c r="E34" s="344" t="s">
        <v>50</v>
      </c>
      <c r="F34" s="377">
        <f>1+COUNTIF(E$5:$F33,E34)+COUNTIF((E$5:$F33),E34=E34)</f>
        <v>12</v>
      </c>
      <c r="G34" s="356" t="str">
        <f t="shared" ref="G34:G35" si="7">CONCATENATE(E34,F34)</f>
        <v>U12</v>
      </c>
      <c r="H34" s="378">
        <v>1918</v>
      </c>
      <c r="I34" s="224" t="s">
        <v>1480</v>
      </c>
      <c r="J34" s="196">
        <f>IFERROR(GETPIVOTDATA("AMOUNT",PT_TB!$B$8, "ACCOUNT", D34), 0)</f>
        <v>874941.75</v>
      </c>
      <c r="K34" s="343">
        <v>874941.75</v>
      </c>
      <c r="L34" s="343">
        <v>898930.65999999992</v>
      </c>
      <c r="M34" s="343">
        <v>773785.26</v>
      </c>
      <c r="N34" s="343">
        <v>586448.06999999995</v>
      </c>
      <c r="O34" s="343">
        <v>0</v>
      </c>
    </row>
    <row r="35" spans="1:15" ht="15.75" customHeight="1">
      <c r="A35" s="211">
        <f t="shared" si="6"/>
        <v>29</v>
      </c>
      <c r="B35" s="357" t="s">
        <v>1145</v>
      </c>
      <c r="C35" s="202" t="s">
        <v>1481</v>
      </c>
      <c r="D35" s="344" t="str">
        <f>CONCATENATE(B35," ",M_COA[[#This Row],[AccountName]])</f>
        <v>1919 Leasehold improvements accumulated Amortization</v>
      </c>
      <c r="E35" s="344" t="s">
        <v>50</v>
      </c>
      <c r="F35" s="377">
        <f>1+COUNTIF(E$5:$F34,E35)+COUNTIF((E$5:$F34),E35=E35)</f>
        <v>13</v>
      </c>
      <c r="G35" s="356" t="str">
        <f t="shared" si="7"/>
        <v>U13</v>
      </c>
      <c r="H35" s="378">
        <v>1919</v>
      </c>
      <c r="I35" s="224" t="s">
        <v>1482</v>
      </c>
      <c r="J35" s="196">
        <f>IFERROR(GETPIVOTDATA("AMOUNT",PT_TB!$B$8, "ACCOUNT", D35), 0)</f>
        <v>-503688.35</v>
      </c>
      <c r="K35" s="343">
        <v>-410875</v>
      </c>
      <c r="L35" s="343">
        <v>-342576</v>
      </c>
      <c r="M35" s="343">
        <v>-233929.41</v>
      </c>
      <c r="N35" s="343">
        <v>-177489.83</v>
      </c>
      <c r="O35" s="343">
        <v>0</v>
      </c>
    </row>
    <row r="36" spans="1:15" ht="15.75" customHeight="1">
      <c r="A36" s="211">
        <f t="shared" si="6"/>
        <v>30</v>
      </c>
      <c r="B36" s="357" t="s">
        <v>1146</v>
      </c>
      <c r="C36" s="202" t="s">
        <v>1147</v>
      </c>
      <c r="D36" s="344" t="str">
        <f>CONCATENATE(B36," ",M_COA[[#This Row],[AccountName]])</f>
        <v>2012 Goodwill</v>
      </c>
      <c r="E36" s="344" t="s">
        <v>50</v>
      </c>
      <c r="F36" s="377">
        <f>1+COUNTIF(E$5:$F35,E36)+COUNTIF((E$5:$F35),E36=E36)</f>
        <v>14</v>
      </c>
      <c r="G36" s="356" t="str">
        <f t="shared" ref="G36:G37" si="8">CONCATENATE(E36,F36)</f>
        <v>U14</v>
      </c>
      <c r="H36" s="378">
        <v>2012</v>
      </c>
      <c r="I36" s="224" t="s">
        <v>1147</v>
      </c>
      <c r="J36" s="196">
        <f>IFERROR(GETPIVOTDATA("AMOUNT",PT_TB!$B$8, "ACCOUNT", D36), 0)</f>
        <v>0</v>
      </c>
      <c r="K36" s="343">
        <v>0</v>
      </c>
      <c r="L36" s="343">
        <v>0</v>
      </c>
      <c r="M36" s="343">
        <v>0</v>
      </c>
      <c r="N36" s="343">
        <v>0</v>
      </c>
      <c r="O36" s="343">
        <v>0</v>
      </c>
    </row>
    <row r="37" spans="1:15" ht="15.75" customHeight="1">
      <c r="A37" s="211">
        <f t="shared" si="6"/>
        <v>31</v>
      </c>
      <c r="B37" s="357" t="s">
        <v>1148</v>
      </c>
      <c r="C37" s="202" t="s">
        <v>1219</v>
      </c>
      <c r="D37" s="344" t="str">
        <f>CONCATENATE(B37," ",M_COA[[#This Row],[AccountName]])</f>
        <v>2013 Goodwill accumulated amortization</v>
      </c>
      <c r="E37" s="344" t="s">
        <v>50</v>
      </c>
      <c r="F37" s="377">
        <f>1+COUNTIF(E$5:$F36,E37)+COUNTIF((E$5:$F36),E37=E37)</f>
        <v>15</v>
      </c>
      <c r="G37" s="356" t="str">
        <f t="shared" si="8"/>
        <v>U15</v>
      </c>
      <c r="H37" s="378">
        <v>2013</v>
      </c>
      <c r="I37" s="224" t="s">
        <v>1220</v>
      </c>
      <c r="J37" s="196">
        <f>IFERROR(GETPIVOTDATA("AMOUNT",PT_TB!$B$8, "ACCOUNT", D37), 0)</f>
        <v>0</v>
      </c>
      <c r="K37" s="343">
        <v>0</v>
      </c>
      <c r="L37" s="343">
        <v>0</v>
      </c>
      <c r="M37" s="343">
        <v>0</v>
      </c>
      <c r="N37" s="343">
        <v>0</v>
      </c>
      <c r="O37" s="343">
        <v>0</v>
      </c>
    </row>
    <row r="38" spans="1:15" ht="15.75" customHeight="1">
      <c r="A38" s="211">
        <f t="shared" si="6"/>
        <v>32</v>
      </c>
      <c r="B38" s="357" t="s">
        <v>1149</v>
      </c>
      <c r="C38" s="202" t="s">
        <v>1221</v>
      </c>
      <c r="D38" s="344" t="str">
        <f>CONCATENATE(B38," ",M_COA[[#This Row],[AccountName]])</f>
        <v>2016 Franchise Fee</v>
      </c>
      <c r="E38" s="344" t="s">
        <v>50</v>
      </c>
      <c r="F38" s="377">
        <f>1+COUNTIF(E$5:$F37,E38)+COUNTIF((E$5:$F37),E38=E38)</f>
        <v>16</v>
      </c>
      <c r="G38" s="356" t="str">
        <f t="shared" ref="G38:G39" si="9">CONCATENATE(E38,F38)</f>
        <v>U16</v>
      </c>
      <c r="H38" s="378">
        <v>2016</v>
      </c>
      <c r="I38" s="224" t="s">
        <v>1366</v>
      </c>
      <c r="J38" s="196">
        <f>IFERROR(GETPIVOTDATA("AMOUNT",PT_TB!$B$8, "ACCOUNT", D38), 0)</f>
        <v>62250</v>
      </c>
      <c r="K38" s="343">
        <v>62250</v>
      </c>
      <c r="L38" s="343">
        <v>62250</v>
      </c>
      <c r="M38" s="343">
        <f>17414.91+43500</f>
        <v>60914.91</v>
      </c>
      <c r="N38" s="343">
        <v>60914.91</v>
      </c>
      <c r="O38" s="343">
        <v>0</v>
      </c>
    </row>
    <row r="39" spans="1:15" ht="15.75" customHeight="1">
      <c r="A39" s="211">
        <f t="shared" si="6"/>
        <v>33</v>
      </c>
      <c r="B39" s="357" t="s">
        <v>1150</v>
      </c>
      <c r="C39" s="202" t="s">
        <v>1222</v>
      </c>
      <c r="D39" s="344" t="str">
        <f>CONCATENATE(B39," ",M_COA[[#This Row],[AccountName]])</f>
        <v>2017 Franchise Fee accumulated amortization</v>
      </c>
      <c r="E39" s="344" t="s">
        <v>50</v>
      </c>
      <c r="F39" s="377">
        <f>1+COUNTIF(E$5:$F38,E39)+COUNTIF((E$5:$F38),E39=E39)</f>
        <v>17</v>
      </c>
      <c r="G39" s="356" t="str">
        <f t="shared" si="9"/>
        <v>U17</v>
      </c>
      <c r="H39" s="378">
        <v>2017</v>
      </c>
      <c r="I39" s="224" t="s">
        <v>1367</v>
      </c>
      <c r="J39" s="196">
        <f>IFERROR(GETPIVOTDATA("AMOUNT",PT_TB!$B$8, "ACCOUNT", D39), 0)</f>
        <v>-47550</v>
      </c>
      <c r="K39" s="343">
        <f>-43875</f>
        <v>-43875</v>
      </c>
      <c r="L39" s="343">
        <f>-37852</f>
        <v>-37852</v>
      </c>
      <c r="M39" s="343">
        <f>-15238-19500</f>
        <v>-34738</v>
      </c>
      <c r="N39" s="343">
        <f>-14367.25-17325</f>
        <v>-31692.25</v>
      </c>
      <c r="O39" s="343">
        <v>0</v>
      </c>
    </row>
    <row r="40" spans="1:15" ht="15.75" customHeight="1">
      <c r="A40" s="211">
        <f t="shared" si="6"/>
        <v>34</v>
      </c>
      <c r="B40" s="357" t="s">
        <v>1151</v>
      </c>
      <c r="C40" s="202" t="s">
        <v>1223</v>
      </c>
      <c r="D40" s="344" t="str">
        <f>CONCATENATE(B40," ",M_COA[[#This Row],[AccountName]])</f>
        <v>2427 Cash Surrender of Life Insurance</v>
      </c>
      <c r="E40" s="344" t="s">
        <v>50</v>
      </c>
      <c r="F40" s="377">
        <f>1+COUNTIF(E$5:$F39,E40)+COUNTIF((E$5:$F39),E40=E40)</f>
        <v>18</v>
      </c>
      <c r="G40" s="356" t="str">
        <f t="shared" ref="G40" si="10">CONCATENATE(E40,F40)</f>
        <v>U18</v>
      </c>
      <c r="H40" s="378">
        <v>2427</v>
      </c>
      <c r="I40" s="202" t="s">
        <v>1223</v>
      </c>
      <c r="J40" s="196">
        <f>IFERROR(GETPIVOTDATA("AMOUNT",PT_TB!$B$8, "ACCOUNT", D40), 0)</f>
        <v>87341.03</v>
      </c>
      <c r="K40" s="343">
        <v>89801.2</v>
      </c>
      <c r="L40" s="343">
        <v>48743.16</v>
      </c>
      <c r="M40" s="343">
        <v>39433.9</v>
      </c>
      <c r="N40" s="343">
        <v>18604.560000000001</v>
      </c>
      <c r="O40" s="343">
        <v>0</v>
      </c>
    </row>
    <row r="41" spans="1:15" ht="15.75" customHeight="1">
      <c r="A41" s="211" t="s">
        <v>0</v>
      </c>
      <c r="B41" s="196" t="s">
        <v>0</v>
      </c>
      <c r="C41" s="196" t="s">
        <v>0</v>
      </c>
      <c r="D41" s="379" t="s">
        <v>497</v>
      </c>
      <c r="E41" s="344" t="s">
        <v>0</v>
      </c>
      <c r="F41" s="377" t="s">
        <v>0</v>
      </c>
      <c r="G41" s="356" t="str">
        <f t="shared" si="2"/>
        <v xml:space="preserve">  </v>
      </c>
      <c r="H41" s="378" t="s">
        <v>224</v>
      </c>
      <c r="I41" s="226" t="s">
        <v>497</v>
      </c>
      <c r="J41" s="196">
        <f>IFERROR(GETPIVOTDATA("AMOUNT",PT_TB!$B$8, "ACCOUNT", D41), 0)</f>
        <v>0</v>
      </c>
      <c r="K41" s="343">
        <v>0</v>
      </c>
      <c r="L41" s="343">
        <v>0</v>
      </c>
      <c r="M41" s="343">
        <v>0</v>
      </c>
      <c r="N41" s="343">
        <v>0</v>
      </c>
      <c r="O41" s="343">
        <v>0</v>
      </c>
    </row>
    <row r="42" spans="1:15" ht="15.75" customHeight="1">
      <c r="A42" s="211">
        <v>35</v>
      </c>
      <c r="B42" s="357" t="s">
        <v>401</v>
      </c>
      <c r="C42" s="202" t="s">
        <v>137</v>
      </c>
      <c r="D42" s="344" t="str">
        <f>CONCATENATE(B42," ",M_COA[[#This Row],[AccountName]])</f>
        <v>2150 Accounts payable</v>
      </c>
      <c r="E42" s="344" t="s">
        <v>272</v>
      </c>
      <c r="F42" s="377">
        <f>1+COUNTIF(E$5:$F41,E42)+COUNTIF((E$5:$F41),E42=E42)</f>
        <v>1</v>
      </c>
      <c r="G42" s="356" t="str">
        <f t="shared" si="2"/>
        <v>BB1</v>
      </c>
      <c r="H42" s="378">
        <v>2620</v>
      </c>
      <c r="I42" s="223" t="s">
        <v>137</v>
      </c>
      <c r="J42" s="196">
        <f>IFERROR(GETPIVOTDATA("AMOUNT",PT_TB!$B$8, "ACCOUNT", D42), 0)</f>
        <v>-3520.4799999999996</v>
      </c>
      <c r="K42" s="343">
        <v>-111812.99</v>
      </c>
      <c r="L42" s="343">
        <v>-183944.34</v>
      </c>
      <c r="M42" s="343">
        <v>-104591.75</v>
      </c>
      <c r="N42" s="343">
        <v>-198196.41</v>
      </c>
      <c r="O42" s="343">
        <v>0</v>
      </c>
    </row>
    <row r="43" spans="1:15" ht="15.75" customHeight="1">
      <c r="A43" s="211">
        <f t="shared" si="1"/>
        <v>36</v>
      </c>
      <c r="B43" s="357" t="s">
        <v>1225</v>
      </c>
      <c r="C43" s="362" t="s">
        <v>1591</v>
      </c>
      <c r="D43" s="344" t="str">
        <f>CONCATENATE(B43," ",M_COA[[#This Row],[AccountName]])</f>
        <v>2151 Fundraiser Coupon Payable</v>
      </c>
      <c r="E43" s="344" t="s">
        <v>272</v>
      </c>
      <c r="F43" s="377">
        <f>1+COUNTIF(E$5:$F42,E43)+COUNTIF((E$5:$F42),E43=E43)</f>
        <v>2</v>
      </c>
      <c r="G43" s="356" t="str">
        <f t="shared" ref="G43" si="11">CONCATENATE(E43,F43)</f>
        <v>BB2</v>
      </c>
      <c r="H43" s="378">
        <v>2620</v>
      </c>
      <c r="I43" s="223" t="s">
        <v>137</v>
      </c>
      <c r="J43" s="196">
        <f>IFERROR(GETPIVOTDATA("AMOUNT",PT_TB!$B$8, "ACCOUNT", D43), 0)</f>
        <v>-7713.65</v>
      </c>
      <c r="K43" s="343">
        <v>-7387.68</v>
      </c>
      <c r="L43" s="343">
        <v>-14610.9</v>
      </c>
      <c r="M43" s="343">
        <v>-9679.25</v>
      </c>
      <c r="N43" s="343">
        <v>-19558.75</v>
      </c>
      <c r="O43" s="343">
        <v>0</v>
      </c>
    </row>
    <row r="44" spans="1:15" ht="15.75" customHeight="1">
      <c r="A44" s="211">
        <f t="shared" si="1"/>
        <v>37</v>
      </c>
      <c r="B44" s="202" t="s">
        <v>402</v>
      </c>
      <c r="C44" s="202" t="s">
        <v>403</v>
      </c>
      <c r="D44" s="344" t="str">
        <f>CONCATENATE(B44," ",M_COA[[#This Row],[AccountName]])</f>
        <v>2152 Accruals</v>
      </c>
      <c r="E44" s="344" t="s">
        <v>272</v>
      </c>
      <c r="F44" s="377">
        <f>1+COUNTIF(E$5:$F43,E44)+COUNTIF((E$5:$F43),E44=E44)</f>
        <v>3</v>
      </c>
      <c r="G44" s="356" t="str">
        <f t="shared" si="2"/>
        <v>BB3</v>
      </c>
      <c r="H44" s="378">
        <v>2620</v>
      </c>
      <c r="I44" s="223" t="s">
        <v>137</v>
      </c>
      <c r="J44" s="196">
        <f>IFERROR(GETPIVOTDATA("AMOUNT",PT_TB!$B$8, "ACCOUNT", D44), 0)</f>
        <v>-313475.81</v>
      </c>
      <c r="K44" s="196">
        <v>-9927.0999999997803</v>
      </c>
      <c r="L44" s="196">
        <v>0</v>
      </c>
      <c r="M44" s="196">
        <v>-25532.249999998301</v>
      </c>
      <c r="N44" s="196">
        <v>-12409.529999999801</v>
      </c>
      <c r="O44" s="343">
        <v>0</v>
      </c>
    </row>
    <row r="45" spans="1:15" ht="15.75" customHeight="1">
      <c r="A45" s="211">
        <f t="shared" si="1"/>
        <v>38</v>
      </c>
      <c r="B45" s="202" t="s">
        <v>404</v>
      </c>
      <c r="C45" s="202" t="s">
        <v>405</v>
      </c>
      <c r="D45" s="344" t="str">
        <f>CONCATENATE(B45," ",M_COA[[#This Row],[AccountName]])</f>
        <v>2158 Bonus Payable</v>
      </c>
      <c r="E45" s="344" t="s">
        <v>272</v>
      </c>
      <c r="F45" s="377">
        <f>1+COUNTIF(E$5:$F44,E45)+COUNTIF((E$5:$F44),E45=E45)</f>
        <v>4</v>
      </c>
      <c r="G45" s="356" t="str">
        <f t="shared" si="2"/>
        <v>BB4</v>
      </c>
      <c r="H45" s="378">
        <v>2620</v>
      </c>
      <c r="I45" s="223" t="s">
        <v>137</v>
      </c>
      <c r="J45" s="196">
        <f>IFERROR(GETPIVOTDATA("AMOUNT",PT_TB!$B$8, "ACCOUNT", D45), 0)</f>
        <v>0</v>
      </c>
      <c r="K45" s="343">
        <v>0</v>
      </c>
      <c r="L45" s="343">
        <v>0</v>
      </c>
      <c r="M45" s="343">
        <v>0</v>
      </c>
      <c r="N45" s="343">
        <v>0</v>
      </c>
      <c r="O45" s="343">
        <v>0</v>
      </c>
    </row>
    <row r="46" spans="1:15" ht="15.75" customHeight="1">
      <c r="A46" s="211">
        <f t="shared" si="1"/>
        <v>39</v>
      </c>
      <c r="B46" s="202" t="s">
        <v>406</v>
      </c>
      <c r="C46" s="202" t="s">
        <v>407</v>
      </c>
      <c r="D46" s="344" t="str">
        <f>CONCATENATE(B46," ",M_COA[[#This Row],[AccountName]])</f>
        <v>2160 Payroll Clearing</v>
      </c>
      <c r="E46" s="344" t="s">
        <v>272</v>
      </c>
      <c r="F46" s="377">
        <f>1+COUNTIF(E$5:$F45,E46)+COUNTIF((E$5:$F45),E46=E46)</f>
        <v>5</v>
      </c>
      <c r="G46" s="356" t="str">
        <f t="shared" si="2"/>
        <v>BB5</v>
      </c>
      <c r="H46" s="378">
        <v>2620</v>
      </c>
      <c r="I46" s="223" t="s">
        <v>137</v>
      </c>
      <c r="J46" s="196">
        <f>IFERROR(GETPIVOTDATA("AMOUNT",PT_TB!$B$8, "ACCOUNT", D46), 0)</f>
        <v>92285.98</v>
      </c>
      <c r="K46" s="343">
        <v>-5271.5600000006698</v>
      </c>
      <c r="L46" s="343">
        <v>384.48</v>
      </c>
      <c r="M46" s="343">
        <v>-1007.72</v>
      </c>
      <c r="N46" s="343">
        <v>-2455.92</v>
      </c>
      <c r="O46" s="343">
        <v>0</v>
      </c>
    </row>
    <row r="47" spans="1:15" ht="15.75" customHeight="1">
      <c r="A47" s="211">
        <f t="shared" si="1"/>
        <v>40</v>
      </c>
      <c r="B47" s="202" t="s">
        <v>408</v>
      </c>
      <c r="C47" s="202" t="s">
        <v>1224</v>
      </c>
      <c r="D47" s="344" t="str">
        <f>CONCATENATE(B47," ",M_COA[[#This Row],[AccountName]])</f>
        <v>2161 Union dues payable</v>
      </c>
      <c r="E47" s="344" t="s">
        <v>272</v>
      </c>
      <c r="F47" s="377">
        <f>1+COUNTIF(E$5:$F46,E47)+COUNTIF((E$5:$F46),E47=E47)</f>
        <v>6</v>
      </c>
      <c r="G47" s="356" t="str">
        <f t="shared" si="2"/>
        <v>BB6</v>
      </c>
      <c r="H47" s="378">
        <v>2620</v>
      </c>
      <c r="I47" s="223" t="s">
        <v>137</v>
      </c>
      <c r="J47" s="196">
        <f>IFERROR(GETPIVOTDATA("AMOUNT",PT_TB!$B$8, "ACCOUNT", D47), 0)</f>
        <v>-16023.93</v>
      </c>
      <c r="K47" s="343">
        <v>-17162.71</v>
      </c>
      <c r="L47" s="343">
        <v>-16108.56</v>
      </c>
      <c r="M47" s="343">
        <v>-17283.189999999999</v>
      </c>
      <c r="N47" s="343">
        <v>-13328.39</v>
      </c>
      <c r="O47" s="343">
        <v>0</v>
      </c>
    </row>
    <row r="48" spans="1:15" ht="15.75" customHeight="1">
      <c r="A48" s="211">
        <f t="shared" si="1"/>
        <v>41</v>
      </c>
      <c r="B48" s="229" t="s">
        <v>409</v>
      </c>
      <c r="C48" s="229" t="s">
        <v>410</v>
      </c>
      <c r="D48" s="344" t="str">
        <f>CONCATENATE(B48," ",M_COA[[#This Row],[AccountName]])</f>
        <v>2162 Payroll Liabilities</v>
      </c>
      <c r="E48" s="344" t="s">
        <v>273</v>
      </c>
      <c r="F48" s="377">
        <f>1+COUNTIF(E$5:$F47,E48)+COUNTIF((E$5:$F47),E48=E48)</f>
        <v>1</v>
      </c>
      <c r="G48" s="356" t="str">
        <f t="shared" si="2"/>
        <v>DD1</v>
      </c>
      <c r="H48" s="378">
        <v>2627</v>
      </c>
      <c r="I48" s="223" t="s">
        <v>334</v>
      </c>
      <c r="J48" s="196">
        <f>IFERROR(GETPIVOTDATA("AMOUNT",PT_TB!$B$8, "ACCOUNT", D48), 0)</f>
        <v>-2667</v>
      </c>
      <c r="K48" s="343">
        <v>0</v>
      </c>
      <c r="L48" s="343">
        <v>0</v>
      </c>
      <c r="M48" s="343">
        <v>0</v>
      </c>
      <c r="N48" s="343">
        <v>0</v>
      </c>
      <c r="O48" s="343">
        <v>0</v>
      </c>
    </row>
    <row r="49" spans="1:15" ht="15.75" customHeight="1">
      <c r="A49" s="211">
        <f t="shared" si="1"/>
        <v>42</v>
      </c>
      <c r="B49" s="229" t="s">
        <v>411</v>
      </c>
      <c r="C49" s="229" t="s">
        <v>412</v>
      </c>
      <c r="D49" s="344" t="str">
        <f>CONCATENATE(B49," ",M_COA[[#This Row],[AccountName]])</f>
        <v>2164 Workers Comp Payable</v>
      </c>
      <c r="E49" s="344" t="s">
        <v>272</v>
      </c>
      <c r="F49" s="377">
        <f>1+COUNTIF(E$5:$F48,E49)+COUNTIF((E$5:$F48),E49=E49)</f>
        <v>7</v>
      </c>
      <c r="G49" s="356" t="str">
        <f t="shared" si="2"/>
        <v>BB7</v>
      </c>
      <c r="H49" s="378">
        <v>2620</v>
      </c>
      <c r="I49" s="223" t="s">
        <v>137</v>
      </c>
      <c r="J49" s="196">
        <f>IFERROR(GETPIVOTDATA("AMOUNT",PT_TB!$B$8, "ACCOUNT", D49), 0)</f>
        <v>0</v>
      </c>
      <c r="K49" s="343">
        <v>8585.9700000000012</v>
      </c>
      <c r="L49" s="343">
        <v>2503.8499999999913</v>
      </c>
      <c r="M49" s="343">
        <v>-9342.66</v>
      </c>
      <c r="N49" s="343">
        <v>1735.4900000000002</v>
      </c>
      <c r="O49" s="343">
        <v>0</v>
      </c>
    </row>
    <row r="50" spans="1:15" ht="15.75" customHeight="1">
      <c r="A50" s="211">
        <f t="shared" si="1"/>
        <v>43</v>
      </c>
      <c r="B50" s="229" t="s">
        <v>413</v>
      </c>
      <c r="C50" s="229" t="s">
        <v>414</v>
      </c>
      <c r="D50" s="344" t="str">
        <f>CONCATENATE(B50," ",M_COA[[#This Row],[AccountName]])</f>
        <v>2170 Income Tax Interim Payments</v>
      </c>
      <c r="E50" s="344" t="s">
        <v>274</v>
      </c>
      <c r="F50" s="377">
        <f>1+COUNTIF(E$5:$F49,E50)+COUNTIF((E$5:$F49),E50=E50)</f>
        <v>1</v>
      </c>
      <c r="G50" s="356" t="str">
        <f t="shared" si="2"/>
        <v>FF1</v>
      </c>
      <c r="H50" s="378">
        <v>2680</v>
      </c>
      <c r="I50" s="223" t="s">
        <v>333</v>
      </c>
      <c r="J50" s="196">
        <f>IFERROR(GETPIVOTDATA("AMOUNT",PT_TB!$B$8, "ACCOUNT", D50), 0)</f>
        <v>0</v>
      </c>
      <c r="K50" s="343">
        <v>0</v>
      </c>
      <c r="L50" s="343">
        <v>0</v>
      </c>
      <c r="M50" s="343">
        <v>0</v>
      </c>
      <c r="N50" s="343">
        <v>0</v>
      </c>
      <c r="O50" s="343">
        <v>0</v>
      </c>
    </row>
    <row r="51" spans="1:15" ht="15.75" customHeight="1">
      <c r="A51" s="211">
        <f t="shared" si="1"/>
        <v>44</v>
      </c>
      <c r="B51" s="202" t="s">
        <v>415</v>
      </c>
      <c r="C51" s="202" t="s">
        <v>416</v>
      </c>
      <c r="D51" s="344" t="str">
        <f>CONCATENATE(B51," ",M_COA[[#This Row],[AccountName]])</f>
        <v>2171 Corporate Income taxes payable</v>
      </c>
      <c r="E51" s="344" t="s">
        <v>274</v>
      </c>
      <c r="F51" s="377">
        <f>1+COUNTIF(E$5:$F50,E51)+COUNTIF((E$5:$F50),E51=E51)</f>
        <v>2</v>
      </c>
      <c r="G51" s="356" t="str">
        <f t="shared" si="2"/>
        <v>FF2</v>
      </c>
      <c r="H51" s="378">
        <v>2680</v>
      </c>
      <c r="I51" s="223" t="s">
        <v>333</v>
      </c>
      <c r="J51" s="196">
        <f>IFERROR(GETPIVOTDATA("AMOUNT",PT_TB!$B$8, "ACCOUNT", D51), 0)</f>
        <v>18284.12</v>
      </c>
      <c r="K51" s="196">
        <v>-23061.100000000199</v>
      </c>
      <c r="L51" s="196">
        <v>18954.530000000199</v>
      </c>
      <c r="M51" s="196">
        <v>-76815.170000000697</v>
      </c>
      <c r="N51" s="196">
        <v>-5244.95999999998</v>
      </c>
      <c r="O51" s="343">
        <v>0</v>
      </c>
    </row>
    <row r="52" spans="1:15" ht="15.75" customHeight="1">
      <c r="A52" s="211">
        <f t="shared" si="1"/>
        <v>45</v>
      </c>
      <c r="B52" s="357" t="s">
        <v>1152</v>
      </c>
      <c r="C52" s="202" t="s">
        <v>1226</v>
      </c>
      <c r="D52" s="344" t="str">
        <f>CONCATENATE(B52," ",M_COA[[#This Row],[AccountName]])</f>
        <v>3100 Deferred Income tax</v>
      </c>
      <c r="E52" s="344" t="s">
        <v>274</v>
      </c>
      <c r="F52" s="377">
        <f>1+COUNTIF(E$5:$F51,E52)+COUNTIF((E$5:$F51),E52=E52)</f>
        <v>3</v>
      </c>
      <c r="G52" s="356" t="str">
        <f t="shared" ref="G52" si="12">CONCATENATE(E52,F52)</f>
        <v>FF3</v>
      </c>
      <c r="H52" s="378">
        <v>2680</v>
      </c>
      <c r="I52" s="223" t="s">
        <v>333</v>
      </c>
      <c r="J52" s="196">
        <f>IFERROR(GETPIVOTDATA("AMOUNT",PT_TB!$B$8, "ACCOUNT", D52), 0)</f>
        <v>-22464</v>
      </c>
      <c r="K52" s="343">
        <v>0</v>
      </c>
      <c r="L52" s="343">
        <v>0</v>
      </c>
      <c r="M52" s="343">
        <v>16500</v>
      </c>
      <c r="N52" s="343">
        <v>0</v>
      </c>
      <c r="O52" s="343">
        <v>0</v>
      </c>
    </row>
    <row r="53" spans="1:15" ht="15.75" customHeight="1">
      <c r="A53" s="211">
        <f t="shared" si="1"/>
        <v>46</v>
      </c>
      <c r="B53" s="202" t="s">
        <v>417</v>
      </c>
      <c r="C53" s="202" t="s">
        <v>418</v>
      </c>
      <c r="D53" s="344" t="str">
        <f>CONCATENATE(B53," ",M_COA[[#This Row],[AccountName]])</f>
        <v>2205 HST Returns</v>
      </c>
      <c r="E53" s="344" t="s">
        <v>273</v>
      </c>
      <c r="F53" s="377">
        <f>1+COUNTIF(E$5:$F51,E53)+COUNTIF((E$5:$F51),E53=E53)</f>
        <v>2</v>
      </c>
      <c r="G53" s="356" t="str">
        <f t="shared" si="2"/>
        <v>DD2</v>
      </c>
      <c r="H53" s="378">
        <v>2681</v>
      </c>
      <c r="I53" s="223" t="s">
        <v>293</v>
      </c>
      <c r="J53" s="196">
        <f>IFERROR(GETPIVOTDATA("AMOUNT",PT_TB!$B$8, "ACCOUNT", D53), 0)</f>
        <v>-55662.51</v>
      </c>
      <c r="K53" s="343">
        <v>-32215.760000000002</v>
      </c>
      <c r="L53" s="343">
        <v>5586.26</v>
      </c>
      <c r="M53" s="343">
        <v>-38306.819999999992</v>
      </c>
      <c r="N53" s="343">
        <v>-2637.81</v>
      </c>
      <c r="O53" s="343">
        <v>0</v>
      </c>
    </row>
    <row r="54" spans="1:15" ht="15.75" customHeight="1">
      <c r="A54" s="211">
        <f t="shared" si="1"/>
        <v>47</v>
      </c>
      <c r="B54" s="202" t="s">
        <v>419</v>
      </c>
      <c r="C54" s="202" t="s">
        <v>420</v>
      </c>
      <c r="D54" s="344" t="str">
        <f>CONCATENATE(B54," ",M_COA[[#This Row],[AccountName]])</f>
        <v>2209 HST collected</v>
      </c>
      <c r="E54" s="344" t="s">
        <v>273</v>
      </c>
      <c r="F54" s="377">
        <f>1+COUNTIF(E$5:$F53,E54)+COUNTIF((E$5:$F53),E54=E54)</f>
        <v>3</v>
      </c>
      <c r="G54" s="356" t="str">
        <f t="shared" si="2"/>
        <v>DD3</v>
      </c>
      <c r="H54" s="378">
        <v>2681</v>
      </c>
      <c r="I54" s="223" t="s">
        <v>293</v>
      </c>
      <c r="J54" s="196">
        <f>IFERROR(GETPIVOTDATA("AMOUNT",PT_TB!$B$8, "ACCOUNT", D54), 0)</f>
        <v>0</v>
      </c>
      <c r="K54" s="343">
        <v>0</v>
      </c>
      <c r="L54" s="343">
        <v>0</v>
      </c>
      <c r="M54" s="343">
        <v>0</v>
      </c>
      <c r="N54" s="343">
        <v>0</v>
      </c>
      <c r="O54" s="343">
        <v>0</v>
      </c>
    </row>
    <row r="55" spans="1:15" ht="15.75" customHeight="1">
      <c r="A55" s="211">
        <f t="shared" si="1"/>
        <v>48</v>
      </c>
      <c r="B55" s="202" t="s">
        <v>421</v>
      </c>
      <c r="C55" s="202" t="s">
        <v>422</v>
      </c>
      <c r="D55" s="344" t="str">
        <f>CONCATENATE(B55," ",M_COA[[#This Row],[AccountName]])</f>
        <v>2210 ITC</v>
      </c>
      <c r="E55" s="344" t="s">
        <v>273</v>
      </c>
      <c r="F55" s="377">
        <f>1+COUNTIF(E$5:$F54,E55)+COUNTIF((E$5:$F54),E55=E55)</f>
        <v>4</v>
      </c>
      <c r="G55" s="356" t="str">
        <f t="shared" si="2"/>
        <v>DD4</v>
      </c>
      <c r="H55" s="378">
        <v>2681</v>
      </c>
      <c r="I55" s="223" t="s">
        <v>293</v>
      </c>
      <c r="J55" s="196">
        <f>IFERROR(GETPIVOTDATA("AMOUNT",PT_TB!$B$8, "ACCOUNT", D55), 0)</f>
        <v>-3108.75</v>
      </c>
      <c r="K55" s="343">
        <v>0</v>
      </c>
      <c r="L55" s="343">
        <v>0</v>
      </c>
      <c r="M55" s="343">
        <v>0</v>
      </c>
      <c r="N55" s="343">
        <v>0</v>
      </c>
      <c r="O55" s="343">
        <v>0</v>
      </c>
    </row>
    <row r="56" spans="1:15" ht="15.75" customHeight="1">
      <c r="A56" s="211">
        <f t="shared" si="1"/>
        <v>49</v>
      </c>
      <c r="B56" s="229" t="s">
        <v>423</v>
      </c>
      <c r="C56" s="229" t="s">
        <v>546</v>
      </c>
      <c r="D56" s="344" t="str">
        <f>CONCATENATE(B56," ",M_COA[[#This Row],[AccountName]])</f>
        <v>2214 Due to a Related Party</v>
      </c>
      <c r="E56" s="344" t="s">
        <v>275</v>
      </c>
      <c r="F56" s="377">
        <f>1+COUNTIF(E$5:$F55,E56)+COUNTIF((E$5:$F55),E56=E56)</f>
        <v>2</v>
      </c>
      <c r="G56" s="356" t="str">
        <f t="shared" si="2"/>
        <v>GG2</v>
      </c>
      <c r="H56" s="378">
        <v>3300</v>
      </c>
      <c r="I56" s="223" t="s">
        <v>598</v>
      </c>
      <c r="J56" s="196">
        <f>IFERROR(GETPIVOTDATA("AMOUNT",PT_TB!$B$8, "ACCOUNT", D56), 0)</f>
        <v>318966.53999999998</v>
      </c>
      <c r="K56" s="343">
        <v>95143.960000001098</v>
      </c>
      <c r="L56" s="343">
        <v>-173115.69</v>
      </c>
      <c r="M56" s="343">
        <v>-316131.20000000001</v>
      </c>
      <c r="N56" s="343">
        <v>-606584.56000000006</v>
      </c>
      <c r="O56" s="343">
        <v>0</v>
      </c>
    </row>
    <row r="57" spans="1:15" ht="15.75" customHeight="1">
      <c r="A57" s="211">
        <f t="shared" si="1"/>
        <v>50</v>
      </c>
      <c r="B57" s="229" t="s">
        <v>424</v>
      </c>
      <c r="C57" s="229" t="s">
        <v>643</v>
      </c>
      <c r="D57" s="344" t="str">
        <f>CONCATENATE(B57," ",M_COA[[#This Row],[AccountName]])</f>
        <v xml:space="preserve">2990 Due from a shareholder </v>
      </c>
      <c r="E57" s="344" t="s">
        <v>275</v>
      </c>
      <c r="F57" s="377">
        <f>1+COUNTIF(E$5:$F56,E57)+COUNTIF((E$5:$F56),E57=E57)</f>
        <v>3</v>
      </c>
      <c r="G57" s="356" t="str">
        <f t="shared" si="2"/>
        <v>GG3</v>
      </c>
      <c r="H57" s="378">
        <v>3260</v>
      </c>
      <c r="I57" s="223" t="s">
        <v>138</v>
      </c>
      <c r="J57" s="196">
        <f>IFERROR(GETPIVOTDATA("AMOUNT",PT_TB!$B$8, "ACCOUNT", D57), 0)</f>
        <v>-164955.4</v>
      </c>
      <c r="K57" s="343">
        <v>-289462.549999999</v>
      </c>
      <c r="L57" s="343">
        <v>-111269.539999998</v>
      </c>
      <c r="M57" s="343">
        <v>67111.300000000207</v>
      </c>
      <c r="N57" s="343">
        <v>0</v>
      </c>
      <c r="O57" s="343">
        <v>0</v>
      </c>
    </row>
    <row r="58" spans="1:15" ht="15.75" customHeight="1">
      <c r="A58" s="211">
        <f t="shared" si="1"/>
        <v>51</v>
      </c>
      <c r="B58" s="229" t="s">
        <v>425</v>
      </c>
      <c r="C58" s="229" t="s">
        <v>525</v>
      </c>
      <c r="D58" s="344" t="str">
        <f>CONCATENATE(B58," ",M_COA[[#This Row],[AccountName]])</f>
        <v>2998 Current principal payments</v>
      </c>
      <c r="E58" s="344" t="s">
        <v>276</v>
      </c>
      <c r="F58" s="377">
        <f>1+COUNTIF(E$5:$F57,E58)+COUNTIF((E$5:$F57),E58=E58)</f>
        <v>1</v>
      </c>
      <c r="G58" s="356" t="str">
        <f t="shared" si="2"/>
        <v>KK1</v>
      </c>
      <c r="H58" s="378">
        <v>2920</v>
      </c>
      <c r="I58" s="223" t="s">
        <v>139</v>
      </c>
      <c r="J58" s="196">
        <f>IFERROR(GETPIVOTDATA("AMOUNT",PT_TB!$B$8, "ACCOUNT", D58), 0)</f>
        <v>-110400</v>
      </c>
      <c r="K58" s="343">
        <v>0</v>
      </c>
      <c r="L58" s="343">
        <v>0</v>
      </c>
      <c r="M58" s="343">
        <v>0</v>
      </c>
      <c r="N58" s="343">
        <v>0</v>
      </c>
      <c r="O58" s="343">
        <v>0</v>
      </c>
    </row>
    <row r="59" spans="1:15" ht="15.75" customHeight="1">
      <c r="A59" s="211" t="s">
        <v>0</v>
      </c>
      <c r="B59" s="196" t="s">
        <v>0</v>
      </c>
      <c r="C59" s="196" t="s">
        <v>0</v>
      </c>
      <c r="D59" s="481" t="s">
        <v>498</v>
      </c>
      <c r="E59" s="344" t="s">
        <v>0</v>
      </c>
      <c r="F59" s="377" t="s">
        <v>0</v>
      </c>
      <c r="G59" s="356" t="str">
        <f t="shared" si="2"/>
        <v xml:space="preserve">  </v>
      </c>
      <c r="H59" s="378" t="s">
        <v>506</v>
      </c>
      <c r="I59" s="226" t="s">
        <v>498</v>
      </c>
      <c r="J59" s="196">
        <f>IFERROR(GETPIVOTDATA("AMOUNT",PT_TB!$B$8, "ACCOUNT", D59), 0)</f>
        <v>0</v>
      </c>
      <c r="K59" s="343">
        <v>0</v>
      </c>
      <c r="L59" s="343">
        <v>0</v>
      </c>
      <c r="M59" s="343">
        <v>0</v>
      </c>
      <c r="N59" s="343">
        <v>0</v>
      </c>
      <c r="O59" s="343">
        <v>0</v>
      </c>
    </row>
    <row r="60" spans="1:15" ht="15.75" customHeight="1">
      <c r="A60" s="211">
        <v>52</v>
      </c>
      <c r="B60" s="229" t="s">
        <v>426</v>
      </c>
      <c r="C60" s="229" t="s">
        <v>1423</v>
      </c>
      <c r="D60" s="344" t="str">
        <f>CONCATENATE(B60," ",M_COA[[#This Row],[AccountName]])</f>
        <v>3110 Conditional Sales Contract</v>
      </c>
      <c r="E60" s="344" t="s">
        <v>276</v>
      </c>
      <c r="F60" s="377">
        <f>1+COUNTIF(E$5:$F59,E60)+COUNTIF((E$5:$F59),E60=E60)</f>
        <v>2</v>
      </c>
      <c r="G60" s="356" t="str">
        <f t="shared" si="2"/>
        <v>KK2</v>
      </c>
      <c r="H60" s="378">
        <v>3110</v>
      </c>
      <c r="I60" s="362" t="s">
        <v>1422</v>
      </c>
      <c r="J60" s="196">
        <f>IFERROR(GETPIVOTDATA("AMOUNT",PT_TB!$B$8, "ACCOUNT", D60), 0)</f>
        <v>0</v>
      </c>
      <c r="K60" s="343">
        <v>0</v>
      </c>
      <c r="L60" s="343">
        <v>0</v>
      </c>
      <c r="M60" s="343">
        <v>0</v>
      </c>
      <c r="N60" s="343">
        <v>0</v>
      </c>
      <c r="O60" s="343">
        <v>0</v>
      </c>
    </row>
    <row r="61" spans="1:15" ht="15.75" customHeight="1">
      <c r="A61" s="211">
        <f t="shared" si="1"/>
        <v>53</v>
      </c>
      <c r="B61" s="202" t="s">
        <v>427</v>
      </c>
      <c r="C61" s="202" t="s">
        <v>521</v>
      </c>
      <c r="D61" s="344" t="str">
        <f>CONCATENATE(B61," ",M_COA[[#This Row],[AccountName]])</f>
        <v>3120 Bank term loan</v>
      </c>
      <c r="E61" s="344" t="s">
        <v>276</v>
      </c>
      <c r="F61" s="377">
        <f>1+COUNTIF(E$5:$F60,E61)+COUNTIF((E$5:$F60),E61=E61)</f>
        <v>3</v>
      </c>
      <c r="G61" s="356" t="str">
        <f t="shared" si="2"/>
        <v>KK3</v>
      </c>
      <c r="H61" s="378">
        <v>3120</v>
      </c>
      <c r="I61" s="743" t="s">
        <v>1668</v>
      </c>
      <c r="J61" s="196">
        <f>IFERROR(GETPIVOTDATA("AMOUNT",PT_TB!$B$8, "ACCOUNT", D61), 0)</f>
        <v>-394110.85</v>
      </c>
      <c r="K61" s="196">
        <v>-503562.53000000102</v>
      </c>
      <c r="L61" s="343">
        <v>-614794.62</v>
      </c>
      <c r="M61" s="343">
        <v>-496165.04</v>
      </c>
      <c r="N61" s="343">
        <v>-320546.71999999997</v>
      </c>
      <c r="O61" s="343">
        <v>0</v>
      </c>
    </row>
    <row r="62" spans="1:15" ht="15.75" customHeight="1">
      <c r="A62" s="211">
        <f t="shared" si="1"/>
        <v>54</v>
      </c>
      <c r="B62" s="202" t="s">
        <v>428</v>
      </c>
      <c r="C62" s="202" t="s">
        <v>522</v>
      </c>
      <c r="D62" s="344" t="str">
        <f>CONCATENATE(B62," ",M_COA[[#This Row],[AccountName]])</f>
        <v>3145 Mortgage payable</v>
      </c>
      <c r="E62" s="344" t="s">
        <v>276</v>
      </c>
      <c r="F62" s="377">
        <f>1+COUNTIF(E$5:$F61,E62)+COUNTIF((E$5:$F61),E62=E62)</f>
        <v>4</v>
      </c>
      <c r="G62" s="356" t="str">
        <f t="shared" si="2"/>
        <v>KK4</v>
      </c>
      <c r="H62" s="378">
        <v>3145</v>
      </c>
      <c r="I62" s="362" t="s">
        <v>1108</v>
      </c>
      <c r="J62" s="196">
        <f>IFERROR(GETPIVOTDATA("AMOUNT",PT_TB!$B$8, "ACCOUNT", D62), 0)</f>
        <v>0</v>
      </c>
      <c r="K62" s="343">
        <v>0</v>
      </c>
      <c r="L62" s="343">
        <v>0</v>
      </c>
      <c r="M62" s="343">
        <v>0</v>
      </c>
      <c r="N62" s="343">
        <v>0</v>
      </c>
      <c r="O62" s="343">
        <v>0</v>
      </c>
    </row>
    <row r="63" spans="1:15" ht="15.75" customHeight="1">
      <c r="A63" s="211">
        <f t="shared" si="1"/>
        <v>55</v>
      </c>
      <c r="B63" s="229" t="s">
        <v>429</v>
      </c>
      <c r="C63" s="229" t="s">
        <v>430</v>
      </c>
      <c r="D63" s="344" t="str">
        <f>CONCATENATE(B63," ",M_COA[[#This Row],[AccountName]])</f>
        <v>3150 Principal due within 1 year-LTD</v>
      </c>
      <c r="E63" s="344" t="s">
        <v>276</v>
      </c>
      <c r="F63" s="377">
        <f>1+COUNTIF(E$5:$F62,E63)+COUNTIF((E$5:$F62),E63=E63)</f>
        <v>5</v>
      </c>
      <c r="G63" s="356" t="str">
        <f t="shared" si="2"/>
        <v>KK5</v>
      </c>
      <c r="H63" s="378">
        <v>3150</v>
      </c>
      <c r="I63" s="223" t="s">
        <v>140</v>
      </c>
      <c r="J63" s="196">
        <f>IFERROR(GETPIVOTDATA("AMOUNT",PT_TB!$B$8, "ACCOUNT", D63), 0)</f>
        <v>110400</v>
      </c>
      <c r="K63" s="343">
        <v>0</v>
      </c>
      <c r="L63" s="343">
        <v>0</v>
      </c>
      <c r="M63" s="343">
        <v>0</v>
      </c>
      <c r="N63" s="343">
        <v>0</v>
      </c>
      <c r="O63" s="343">
        <v>0</v>
      </c>
    </row>
    <row r="64" spans="1:15" ht="15.75" customHeight="1">
      <c r="A64" s="211" t="s">
        <v>0</v>
      </c>
      <c r="B64" s="196" t="s">
        <v>0</v>
      </c>
      <c r="C64" s="196" t="s">
        <v>0</v>
      </c>
      <c r="D64" s="481" t="s">
        <v>335</v>
      </c>
      <c r="E64" s="344" t="s">
        <v>0</v>
      </c>
      <c r="F64" s="377" t="s">
        <v>0</v>
      </c>
      <c r="G64" s="356" t="str">
        <f t="shared" si="2"/>
        <v xml:space="preserve">  </v>
      </c>
      <c r="H64" s="378" t="s">
        <v>507</v>
      </c>
      <c r="I64" s="226" t="s">
        <v>335</v>
      </c>
      <c r="J64" s="196">
        <f>IFERROR(GETPIVOTDATA("AMOUNT",PT_TB!$B$8, "ACCOUNT", D64), 0)</f>
        <v>0</v>
      </c>
      <c r="K64" s="343">
        <v>0</v>
      </c>
      <c r="L64" s="343">
        <v>0</v>
      </c>
      <c r="M64" s="343">
        <v>0</v>
      </c>
      <c r="N64" s="343">
        <v>0</v>
      </c>
      <c r="O64" s="343">
        <v>0</v>
      </c>
    </row>
    <row r="65" spans="1:15" ht="15.75" customHeight="1">
      <c r="A65" s="211">
        <v>56</v>
      </c>
      <c r="B65" s="482" t="s">
        <v>527</v>
      </c>
      <c r="C65" s="196" t="s">
        <v>530</v>
      </c>
      <c r="D65" s="344" t="str">
        <f>CONCATENATE(B65," ",M_COA[[#This Row],[AccountName]])</f>
        <v>3200 ABC Company</v>
      </c>
      <c r="E65" s="344" t="s">
        <v>275</v>
      </c>
      <c r="F65" s="377">
        <f>1+COUNTIF(E$5:$F64,E65)+COUNTIF((E$5:$F64),E65=E65)</f>
        <v>4</v>
      </c>
      <c r="G65" s="356" t="str">
        <f t="shared" si="2"/>
        <v>GG4</v>
      </c>
      <c r="H65" s="483" t="s">
        <v>527</v>
      </c>
      <c r="I65" s="196" t="s">
        <v>530</v>
      </c>
      <c r="J65" s="196">
        <f>IFERROR(GETPIVOTDATA("AMOUNT",PT_TB!$B$8, "ACCOUNT", D65), 0)</f>
        <v>0</v>
      </c>
      <c r="K65" s="343">
        <v>-63165.899999999499</v>
      </c>
      <c r="L65" s="343">
        <v>0</v>
      </c>
      <c r="M65" s="343">
        <v>0</v>
      </c>
      <c r="N65" s="343">
        <v>0</v>
      </c>
      <c r="O65" s="343">
        <v>0</v>
      </c>
    </row>
    <row r="66" spans="1:15" ht="15.75" customHeight="1">
      <c r="A66" s="211">
        <f t="shared" si="1"/>
        <v>57</v>
      </c>
      <c r="B66" s="482" t="s">
        <v>528</v>
      </c>
      <c r="C66" s="196" t="s">
        <v>529</v>
      </c>
      <c r="D66" s="344" t="str">
        <f>CONCATENATE(B66," ",M_COA[[#This Row],[AccountName]])</f>
        <v>3201 Family Investments Corp</v>
      </c>
      <c r="E66" s="344" t="s">
        <v>275</v>
      </c>
      <c r="F66" s="377">
        <f>1+COUNTIF(E$5:$F65,E66)+COUNTIF((E$5:$F65),E66=E66)</f>
        <v>5</v>
      </c>
      <c r="G66" s="356" t="str">
        <f t="shared" si="2"/>
        <v>GG5</v>
      </c>
      <c r="H66" s="483" t="s">
        <v>528</v>
      </c>
      <c r="I66" s="196" t="s">
        <v>529</v>
      </c>
      <c r="J66" s="196">
        <f>IFERROR(GETPIVOTDATA("AMOUNT",PT_TB!$B$8, "ACCOUNT", D66), 0)</f>
        <v>0</v>
      </c>
      <c r="K66" s="343">
        <v>0</v>
      </c>
      <c r="L66" s="343">
        <v>0</v>
      </c>
      <c r="M66" s="343">
        <v>0</v>
      </c>
      <c r="N66" s="343">
        <v>0</v>
      </c>
      <c r="O66" s="343">
        <v>0</v>
      </c>
    </row>
    <row r="67" spans="1:15" ht="15.75" customHeight="1">
      <c r="A67" s="211">
        <f t="shared" si="1"/>
        <v>58</v>
      </c>
      <c r="B67" s="482" t="s">
        <v>531</v>
      </c>
      <c r="C67" s="196" t="s">
        <v>532</v>
      </c>
      <c r="D67" s="344" t="str">
        <f>CONCATENATE(B67," ",M_COA[[#This Row],[AccountName]])</f>
        <v>3210 Current obligations</v>
      </c>
      <c r="E67" s="344" t="s">
        <v>275</v>
      </c>
      <c r="F67" s="377">
        <f>1+COUNTIF(E$5:$F66,E67)+COUNTIF((E$5:$F66),E67=E67)</f>
        <v>6</v>
      </c>
      <c r="G67" s="356" t="str">
        <f t="shared" si="2"/>
        <v>GG6</v>
      </c>
      <c r="H67" s="483" t="s">
        <v>531</v>
      </c>
      <c r="I67" s="196" t="s">
        <v>532</v>
      </c>
      <c r="J67" s="196">
        <f>IFERROR(GETPIVOTDATA("AMOUNT",PT_TB!$B$8, "ACCOUNT", D67), 0)</f>
        <v>0</v>
      </c>
      <c r="K67" s="343">
        <v>0</v>
      </c>
      <c r="L67" s="343">
        <v>0</v>
      </c>
      <c r="M67" s="343">
        <v>0</v>
      </c>
      <c r="N67" s="343">
        <v>0</v>
      </c>
      <c r="O67" s="343">
        <v>0</v>
      </c>
    </row>
    <row r="68" spans="1:15" ht="15.75" customHeight="1">
      <c r="A68" s="211" t="s">
        <v>0</v>
      </c>
      <c r="B68" s="196" t="s">
        <v>0</v>
      </c>
      <c r="C68" s="196" t="s">
        <v>0</v>
      </c>
      <c r="D68" s="481" t="s">
        <v>499</v>
      </c>
      <c r="E68" s="344" t="s">
        <v>0</v>
      </c>
      <c r="F68" s="377" t="s">
        <v>0</v>
      </c>
      <c r="G68" s="356" t="str">
        <f t="shared" si="2"/>
        <v xml:space="preserve">  </v>
      </c>
      <c r="H68" s="378" t="s">
        <v>508</v>
      </c>
      <c r="I68" s="226" t="s">
        <v>499</v>
      </c>
      <c r="J68" s="196">
        <f>IFERROR(GETPIVOTDATA("AMOUNT",PT_TB!$B$8, "ACCOUNT", D68), 0)</f>
        <v>0</v>
      </c>
      <c r="K68" s="343">
        <v>0</v>
      </c>
      <c r="L68" s="343">
        <v>0</v>
      </c>
      <c r="M68" s="343">
        <v>0</v>
      </c>
      <c r="N68" s="343">
        <v>0</v>
      </c>
      <c r="O68" s="343">
        <v>0</v>
      </c>
    </row>
    <row r="69" spans="1:15" ht="15.75" customHeight="1">
      <c r="A69" s="211">
        <v>59</v>
      </c>
      <c r="B69" s="229" t="s">
        <v>432</v>
      </c>
      <c r="C69" s="229" t="s">
        <v>433</v>
      </c>
      <c r="D69" s="344" t="str">
        <f>CONCATENATE(B69," ",M_COA[[#This Row],[AccountName]])</f>
        <v>3400 Capital Stock</v>
      </c>
      <c r="E69" s="344" t="s">
        <v>277</v>
      </c>
      <c r="F69" s="377">
        <f>1+COUNTIF(E$5:$F68,E69)+COUNTIF((E$5:$F68),E69=E69)</f>
        <v>1</v>
      </c>
      <c r="G69" s="356" t="str">
        <f t="shared" si="2"/>
        <v>UU1</v>
      </c>
      <c r="H69" s="378">
        <v>3500</v>
      </c>
      <c r="I69" s="223" t="s">
        <v>114</v>
      </c>
      <c r="J69" s="196">
        <f>IFERROR(GETPIVOTDATA("AMOUNT",PT_TB!$B$8, "ACCOUNT", D69), 0)</f>
        <v>-105</v>
      </c>
      <c r="K69" s="343">
        <v>-106</v>
      </c>
      <c r="L69" s="343">
        <v>-106</v>
      </c>
      <c r="M69" s="343">
        <v>-106</v>
      </c>
      <c r="N69" s="343">
        <v>-108</v>
      </c>
      <c r="O69" s="343">
        <v>0</v>
      </c>
    </row>
    <row r="70" spans="1:15" ht="15.75" customHeight="1">
      <c r="A70" s="211">
        <f t="shared" si="1"/>
        <v>60</v>
      </c>
      <c r="B70" s="202" t="s">
        <v>434</v>
      </c>
      <c r="C70" s="202" t="s">
        <v>113</v>
      </c>
      <c r="D70" s="344" t="str">
        <f>CONCATENATE(B70," ",M_COA[[#This Row],[AccountName]])</f>
        <v>3410 Preferred shares</v>
      </c>
      <c r="E70" s="344" t="s">
        <v>277</v>
      </c>
      <c r="F70" s="377">
        <f>1+COUNTIF(E$5:$F69,E70)+COUNTIF((E$5:$F69),E70=E70)</f>
        <v>2</v>
      </c>
      <c r="G70" s="356" t="str">
        <f t="shared" si="2"/>
        <v>UU2</v>
      </c>
      <c r="H70" s="378">
        <v>3520</v>
      </c>
      <c r="I70" s="223" t="s">
        <v>113</v>
      </c>
      <c r="J70" s="196">
        <f>IFERROR(GETPIVOTDATA("AMOUNT",PT_TB!$B$8, "ACCOUNT", D70), 0)</f>
        <v>0</v>
      </c>
      <c r="K70" s="343">
        <v>0</v>
      </c>
      <c r="L70" s="343">
        <v>0</v>
      </c>
      <c r="M70" s="343">
        <v>0</v>
      </c>
      <c r="N70" s="343">
        <v>0</v>
      </c>
      <c r="O70" s="343">
        <v>0</v>
      </c>
    </row>
    <row r="71" spans="1:15" ht="15.75" customHeight="1">
      <c r="A71" s="211">
        <f t="shared" si="1"/>
        <v>61</v>
      </c>
      <c r="B71" s="229" t="s">
        <v>435</v>
      </c>
      <c r="C71" s="229" t="s">
        <v>436</v>
      </c>
      <c r="D71" s="344" t="str">
        <f>CONCATENATE(B71," ",M_COA[[#This Row],[AccountName]])</f>
        <v>3500 Retained Earnings</v>
      </c>
      <c r="E71" s="344" t="s">
        <v>277</v>
      </c>
      <c r="F71" s="377">
        <f>1+COUNTIF(E$5:$F70,E71)+COUNTIF((E$5:$F70),E71=E71)</f>
        <v>3</v>
      </c>
      <c r="G71" s="356" t="str">
        <f t="shared" si="2"/>
        <v>UU3</v>
      </c>
      <c r="H71" s="378">
        <v>3660</v>
      </c>
      <c r="I71" s="223" t="s">
        <v>115</v>
      </c>
      <c r="J71" s="196">
        <f>IFERROR(GETPIVOTDATA("AMOUNT",PT_TB!$B$8, "ACCOUNT", D71), 0)</f>
        <v>-628827.28</v>
      </c>
      <c r="K71" s="343">
        <v>-594646.96000000183</v>
      </c>
      <c r="L71" s="343">
        <v>-446025.5800000017</v>
      </c>
      <c r="M71" s="343">
        <v>-169225.3400000002</v>
      </c>
      <c r="N71" s="343">
        <v>-295387.56999999995</v>
      </c>
      <c r="O71" s="343">
        <v>0</v>
      </c>
    </row>
    <row r="72" spans="1:15" ht="15.75" customHeight="1">
      <c r="A72" s="211">
        <f t="shared" ref="A72:A133" si="13">A71+1</f>
        <v>62</v>
      </c>
      <c r="B72" s="202" t="s">
        <v>431</v>
      </c>
      <c r="C72" s="202" t="s">
        <v>30</v>
      </c>
      <c r="D72" s="344" t="str">
        <f>CONCATENATE(B72," ",M_COA[[#This Row],[AccountName]])</f>
        <v>3190 Dividends</v>
      </c>
      <c r="E72" s="344" t="s">
        <v>277</v>
      </c>
      <c r="F72" s="377">
        <f>1+COUNTIF(E$5:$F71,E72)+COUNTIF((E$5:$F71),E72=E72)</f>
        <v>4</v>
      </c>
      <c r="G72" s="356" t="str">
        <f t="shared" si="2"/>
        <v>UU4</v>
      </c>
      <c r="H72" s="506" t="s">
        <v>559</v>
      </c>
      <c r="I72" s="223" t="s">
        <v>30</v>
      </c>
      <c r="J72" s="196">
        <f>IFERROR(GETPIVOTDATA("AMOUNT",PT_TB!$B$8, "ACCOUNT", D72), 0)</f>
        <v>182989</v>
      </c>
      <c r="K72" s="343">
        <v>0</v>
      </c>
      <c r="L72" s="343">
        <v>137800</v>
      </c>
      <c r="M72" s="343">
        <v>0</v>
      </c>
      <c r="N72" s="343">
        <v>202002</v>
      </c>
      <c r="O72" s="343">
        <v>0</v>
      </c>
    </row>
    <row r="73" spans="1:15" ht="15.75" customHeight="1">
      <c r="A73" s="211" t="s">
        <v>0</v>
      </c>
      <c r="B73" s="196" t="s">
        <v>0</v>
      </c>
      <c r="C73" s="196" t="s">
        <v>0</v>
      </c>
      <c r="D73" s="379" t="s">
        <v>329</v>
      </c>
      <c r="E73" s="344" t="s">
        <v>0</v>
      </c>
      <c r="F73" s="377" t="s">
        <v>0</v>
      </c>
      <c r="G73" s="356" t="str">
        <f t="shared" si="2"/>
        <v xml:space="preserve">  </v>
      </c>
      <c r="H73" s="378" t="s">
        <v>509</v>
      </c>
      <c r="I73" s="226" t="s">
        <v>329</v>
      </c>
      <c r="J73" s="196">
        <f>IFERROR(GETPIVOTDATA("AMOUNT",PT_TB!$B$8, "ACCOUNT", D73), 0)</f>
        <v>0</v>
      </c>
      <c r="K73" s="343">
        <v>0</v>
      </c>
      <c r="L73" s="343">
        <v>0</v>
      </c>
      <c r="M73" s="343">
        <v>0</v>
      </c>
      <c r="N73" s="343">
        <v>0</v>
      </c>
      <c r="O73" s="343">
        <v>0</v>
      </c>
    </row>
    <row r="74" spans="1:15" ht="15.75" customHeight="1">
      <c r="A74" s="211">
        <v>63</v>
      </c>
      <c r="B74" s="357" t="s">
        <v>343</v>
      </c>
      <c r="C74" s="202" t="s">
        <v>240</v>
      </c>
      <c r="D74" s="344" t="str">
        <f>CONCATENATE(B74," ",M_COA[[#This Row],[AccountName]])</f>
        <v>4010 Sales</v>
      </c>
      <c r="E74" s="376" t="s">
        <v>278</v>
      </c>
      <c r="F74" s="377">
        <f>1+COUNTIF(E$5:$F73,E74)+COUNTIF((E$5:$F73),E74=E74)</f>
        <v>1</v>
      </c>
      <c r="G74" s="356" t="str">
        <f t="shared" si="2"/>
        <v>201</v>
      </c>
      <c r="H74" s="378">
        <v>8000</v>
      </c>
      <c r="I74" s="223" t="s">
        <v>240</v>
      </c>
      <c r="J74" s="196">
        <f>IFERROR(GETPIVOTDATA("AMOUNT",PT_TB!$B$8, "ACCOUNT", D74), 0)</f>
        <v>-5277962.03</v>
      </c>
      <c r="K74" s="343">
        <v>-4927096.37</v>
      </c>
      <c r="L74" s="343">
        <v>-4502741.58</v>
      </c>
      <c r="M74" s="343">
        <v>-4435946.7700000005</v>
      </c>
      <c r="N74" s="343">
        <v>-3447171.49</v>
      </c>
      <c r="O74" s="343">
        <v>0</v>
      </c>
    </row>
    <row r="75" spans="1:15" ht="15.75" customHeight="1">
      <c r="A75" s="211">
        <f t="shared" si="13"/>
        <v>64</v>
      </c>
      <c r="B75" s="357" t="s">
        <v>1153</v>
      </c>
      <c r="C75" s="202" t="s">
        <v>1227</v>
      </c>
      <c r="D75" s="344" t="str">
        <f>CONCATENATE(B75," ",M_COA[[#This Row],[AccountName]])</f>
        <v>4020 Beverages</v>
      </c>
      <c r="E75" s="376" t="s">
        <v>278</v>
      </c>
      <c r="F75" s="377">
        <f>1+COUNTIF(E$5:$F74,E75)+COUNTIF((E$5:$F74),E75=E75)</f>
        <v>2</v>
      </c>
      <c r="G75" s="356" t="str">
        <f t="shared" si="2"/>
        <v>202</v>
      </c>
      <c r="H75" s="378">
        <v>8000</v>
      </c>
      <c r="I75" s="223" t="s">
        <v>240</v>
      </c>
      <c r="J75" s="196">
        <f>IFERROR(GETPIVOTDATA("AMOUNT",PT_TB!$B$8, "ACCOUNT", D75), 0)</f>
        <v>-556439.68000000005</v>
      </c>
      <c r="K75" s="343">
        <v>-734872.49</v>
      </c>
      <c r="L75" s="343">
        <v>-728760.88</v>
      </c>
      <c r="M75" s="343">
        <v>-697289.36</v>
      </c>
      <c r="N75" s="343">
        <v>-548536.93999999994</v>
      </c>
      <c r="O75" s="343">
        <v>0</v>
      </c>
    </row>
    <row r="76" spans="1:15" ht="15.75" customHeight="1">
      <c r="A76" s="211">
        <f t="shared" si="13"/>
        <v>65</v>
      </c>
      <c r="B76" s="480" t="s">
        <v>1154</v>
      </c>
      <c r="C76" s="229" t="s">
        <v>1228</v>
      </c>
      <c r="D76" s="344" t="str">
        <f>CONCATENATE(B76," ",M_COA[[#This Row],[AccountName]])</f>
        <v>4030 Miscellaneous revenue</v>
      </c>
      <c r="E76" s="376" t="s">
        <v>278</v>
      </c>
      <c r="F76" s="377">
        <f>1+COUNTIF(E$5:$F75,E76)+COUNTIF((E$5:$F75),E76=E76)</f>
        <v>3</v>
      </c>
      <c r="G76" s="356" t="str">
        <f t="shared" si="2"/>
        <v>203</v>
      </c>
      <c r="H76" s="378">
        <v>8000</v>
      </c>
      <c r="I76" s="223" t="s">
        <v>240</v>
      </c>
      <c r="J76" s="196">
        <f>IFERROR(GETPIVOTDATA("AMOUNT",PT_TB!$B$8, "ACCOUNT", D76), 0)</f>
        <v>-445743.23</v>
      </c>
      <c r="K76" s="343">
        <v>-421208.11</v>
      </c>
      <c r="L76" s="343">
        <v>-435303.23000000004</v>
      </c>
      <c r="M76" s="343">
        <v>-470733.44999999995</v>
      </c>
      <c r="N76" s="343">
        <v>-336881.59</v>
      </c>
      <c r="O76" s="343">
        <v>0</v>
      </c>
    </row>
    <row r="77" spans="1:15" ht="15.75" customHeight="1">
      <c r="A77" s="211">
        <f t="shared" si="13"/>
        <v>66</v>
      </c>
      <c r="B77" s="362" t="s">
        <v>1156</v>
      </c>
      <c r="C77" s="362" t="s">
        <v>1157</v>
      </c>
      <c r="D77" s="344" t="str">
        <f>CONCATENATE(B77," ",M_COA[[#This Row],[AccountName]])</f>
        <v>4035  Gift Cards Sales</v>
      </c>
      <c r="E77" s="376" t="s">
        <v>278</v>
      </c>
      <c r="F77" s="377">
        <f>1+COUNTIF(E$5:$F76,E77)+COUNTIF((E$5:$F76),E77=E77)</f>
        <v>4</v>
      </c>
      <c r="G77" s="356" t="str">
        <f t="shared" ref="G77:G78" si="14">CONCATENATE(E77,F77)</f>
        <v>204</v>
      </c>
      <c r="H77" s="378">
        <v>8000</v>
      </c>
      <c r="I77" s="223" t="s">
        <v>240</v>
      </c>
      <c r="J77" s="196">
        <f>IFERROR(GETPIVOTDATA("AMOUNT",PT_TB!$B$8, "ACCOUNT", D77), 0)</f>
        <v>-380</v>
      </c>
      <c r="K77" s="343">
        <v>0</v>
      </c>
      <c r="L77" s="343">
        <v>-3062.6099999999997</v>
      </c>
      <c r="M77" s="343">
        <v>0</v>
      </c>
      <c r="N77" s="343">
        <v>0</v>
      </c>
      <c r="O77" s="343">
        <v>0</v>
      </c>
    </row>
    <row r="78" spans="1:15" ht="15.75" customHeight="1">
      <c r="A78" s="211">
        <f t="shared" si="13"/>
        <v>67</v>
      </c>
      <c r="B78" s="362" t="s">
        <v>1158</v>
      </c>
      <c r="C78" s="362" t="s">
        <v>1159</v>
      </c>
      <c r="D78" s="344" t="str">
        <f>CONCATENATE(B78," ",M_COA[[#This Row],[AccountName]])</f>
        <v>4040  Overages and shortages</v>
      </c>
      <c r="E78" s="376" t="s">
        <v>278</v>
      </c>
      <c r="F78" s="377">
        <f>1+COUNTIF(E$5:$F77,E78)+COUNTIF((E$5:$F77),E78=E78)</f>
        <v>5</v>
      </c>
      <c r="G78" s="356" t="str">
        <f t="shared" si="14"/>
        <v>205</v>
      </c>
      <c r="H78" s="378">
        <v>8000</v>
      </c>
      <c r="I78" s="223" t="s">
        <v>240</v>
      </c>
      <c r="J78" s="196">
        <f>IFERROR(GETPIVOTDATA("AMOUNT",PT_TB!$B$8, "ACCOUNT", D78), 0)</f>
        <v>19472.05</v>
      </c>
      <c r="K78" s="343">
        <v>23574.489999999998</v>
      </c>
      <c r="L78" s="343">
        <v>1466.3700000000001</v>
      </c>
      <c r="M78" s="343">
        <v>5757.1200000000008</v>
      </c>
      <c r="N78" s="343">
        <v>1182.6399999999999</v>
      </c>
      <c r="O78" s="343">
        <v>0</v>
      </c>
    </row>
    <row r="79" spans="1:15" ht="15.75" customHeight="1">
      <c r="A79" s="211" t="s">
        <v>0</v>
      </c>
      <c r="B79" s="196" t="s">
        <v>0</v>
      </c>
      <c r="C79" s="196" t="s">
        <v>0</v>
      </c>
      <c r="D79" s="380" t="s">
        <v>330</v>
      </c>
      <c r="E79" s="344" t="s">
        <v>0</v>
      </c>
      <c r="F79" s="377" t="s">
        <v>0</v>
      </c>
      <c r="G79" s="356" t="str">
        <f t="shared" si="2"/>
        <v xml:space="preserve">  </v>
      </c>
      <c r="H79" s="378" t="s">
        <v>510</v>
      </c>
      <c r="I79" s="226" t="s">
        <v>330</v>
      </c>
      <c r="J79" s="196">
        <f>IFERROR(GETPIVOTDATA("AMOUNT",PT_TB!$B$8, "ACCOUNT", D79), 0)</f>
        <v>0</v>
      </c>
      <c r="K79" s="343">
        <v>0</v>
      </c>
      <c r="L79" s="343">
        <v>0</v>
      </c>
      <c r="M79" s="343">
        <v>0</v>
      </c>
      <c r="N79" s="343">
        <v>0</v>
      </c>
      <c r="O79" s="343">
        <v>0</v>
      </c>
    </row>
    <row r="80" spans="1:15" ht="15.75" customHeight="1">
      <c r="A80" s="211">
        <v>68</v>
      </c>
      <c r="B80" s="202" t="s">
        <v>438</v>
      </c>
      <c r="C80" s="202" t="s">
        <v>439</v>
      </c>
      <c r="D80" s="344" t="str">
        <f>CONCATENATE(B80," ",M_COA[[#This Row],[AccountName]])</f>
        <v>4109 Cdn Interest income</v>
      </c>
      <c r="E80" s="376" t="s">
        <v>328</v>
      </c>
      <c r="F80" s="377">
        <f>1+COUNTIF(E$5:$F79,E80)+COUNTIF((E$5:$F79),E80=E80)</f>
        <v>1</v>
      </c>
      <c r="G80" s="356" t="str">
        <f t="shared" si="2"/>
        <v>251</v>
      </c>
      <c r="H80" s="378">
        <v>8090</v>
      </c>
      <c r="I80" s="223" t="s">
        <v>141</v>
      </c>
      <c r="J80" s="196">
        <f>IFERROR(GETPIVOTDATA("AMOUNT",PT_TB!$B$8, "ACCOUNT", D80), 0)</f>
        <v>0</v>
      </c>
      <c r="K80" s="343">
        <v>0</v>
      </c>
      <c r="L80" s="343">
        <v>0</v>
      </c>
      <c r="M80" s="343">
        <v>0</v>
      </c>
      <c r="N80" s="343">
        <v>0</v>
      </c>
      <c r="O80" s="343">
        <v>0</v>
      </c>
    </row>
    <row r="81" spans="1:15" ht="15.75" customHeight="1">
      <c r="A81" s="211">
        <f t="shared" si="13"/>
        <v>69</v>
      </c>
      <c r="B81" s="357" t="s">
        <v>862</v>
      </c>
      <c r="C81" s="202" t="s">
        <v>863</v>
      </c>
      <c r="D81" s="344" t="str">
        <f>CONCATENATE(B81," ",M_COA[[#This Row],[AccountName]])</f>
        <v xml:space="preserve">4110 Investment Income Foreign </v>
      </c>
      <c r="E81" s="376" t="s">
        <v>328</v>
      </c>
      <c r="F81" s="377">
        <f>1+COUNTIF(E$5:$F80,E81)+COUNTIF((E$5:$F80),E81=E81)</f>
        <v>2</v>
      </c>
      <c r="G81" s="356" t="str">
        <f t="shared" ref="G81" si="15">CONCATENATE(E81,F81)</f>
        <v>252</v>
      </c>
      <c r="H81" s="378">
        <v>8097</v>
      </c>
      <c r="I81" s="223" t="s">
        <v>142</v>
      </c>
      <c r="J81" s="196">
        <f>IFERROR(GETPIVOTDATA("AMOUNT",PT_TB!$B$8, "ACCOUNT", D81), 0)</f>
        <v>0</v>
      </c>
      <c r="K81" s="343">
        <v>0</v>
      </c>
      <c r="L81" s="343">
        <v>0</v>
      </c>
      <c r="M81" s="343">
        <v>0</v>
      </c>
      <c r="N81" s="343">
        <v>0</v>
      </c>
      <c r="O81" s="343">
        <v>0</v>
      </c>
    </row>
    <row r="82" spans="1:15" ht="15.75" customHeight="1">
      <c r="A82" s="211">
        <f t="shared" si="13"/>
        <v>70</v>
      </c>
      <c r="B82" s="196" t="s">
        <v>440</v>
      </c>
      <c r="C82" s="196" t="s">
        <v>441</v>
      </c>
      <c r="D82" s="344" t="str">
        <f>CONCATENATE(B82," ",M_COA[[#This Row],[AccountName]])</f>
        <v>4460 Dividends Cdn</v>
      </c>
      <c r="E82" s="376" t="s">
        <v>328</v>
      </c>
      <c r="F82" s="377">
        <f>1+COUNTIF(E$5:$F80,E82)+COUNTIF((E$5:$F80),E82=E82)</f>
        <v>2</v>
      </c>
      <c r="G82" s="356" t="str">
        <f t="shared" si="2"/>
        <v>252</v>
      </c>
      <c r="H82" s="378">
        <v>8095</v>
      </c>
      <c r="I82" s="224" t="s">
        <v>368</v>
      </c>
      <c r="J82" s="196">
        <f>IFERROR(GETPIVOTDATA("AMOUNT",PT_TB!$B$8, "ACCOUNT", D82), 0)</f>
        <v>-421.71</v>
      </c>
      <c r="K82" s="343">
        <v>0</v>
      </c>
      <c r="L82" s="343">
        <v>0</v>
      </c>
      <c r="M82" s="343">
        <v>0</v>
      </c>
      <c r="N82" s="343">
        <v>0</v>
      </c>
      <c r="O82" s="343">
        <v>0</v>
      </c>
    </row>
    <row r="83" spans="1:15" ht="15.75" customHeight="1">
      <c r="A83" s="211">
        <f t="shared" si="13"/>
        <v>71</v>
      </c>
      <c r="B83" s="202" t="s">
        <v>442</v>
      </c>
      <c r="C83" s="202" t="s">
        <v>443</v>
      </c>
      <c r="D83" s="344" t="str">
        <f>CONCATENATE(B83," ",M_COA[[#This Row],[AccountName]])</f>
        <v>4120 US Dividends</v>
      </c>
      <c r="E83" s="376" t="s">
        <v>328</v>
      </c>
      <c r="F83" s="377">
        <f>1+COUNTIF(E$5:$F82,E83)+COUNTIF((E$5:$F82),E83=E83)</f>
        <v>4</v>
      </c>
      <c r="G83" s="356" t="str">
        <f t="shared" si="2"/>
        <v>254</v>
      </c>
      <c r="H83" s="378">
        <v>8097</v>
      </c>
      <c r="I83" s="223" t="s">
        <v>142</v>
      </c>
      <c r="J83" s="196">
        <f>IFERROR(GETPIVOTDATA("AMOUNT",PT_TB!$B$8, "ACCOUNT", D83), 0)</f>
        <v>0</v>
      </c>
      <c r="K83" s="343">
        <v>0</v>
      </c>
      <c r="L83" s="343">
        <v>0</v>
      </c>
      <c r="M83" s="343">
        <v>0</v>
      </c>
      <c r="N83" s="343">
        <v>0</v>
      </c>
      <c r="O83" s="343">
        <v>0</v>
      </c>
    </row>
    <row r="84" spans="1:15" ht="15.75" customHeight="1">
      <c r="A84" s="211">
        <f t="shared" si="13"/>
        <v>72</v>
      </c>
      <c r="B84" s="202" t="s">
        <v>444</v>
      </c>
      <c r="C84" s="202" t="s">
        <v>445</v>
      </c>
      <c r="D84" s="344" t="str">
        <f>CONCATENATE(B84," ",M_COA[[#This Row],[AccountName]])</f>
        <v>4130 Income clearing Account</v>
      </c>
      <c r="E84" s="376" t="s">
        <v>328</v>
      </c>
      <c r="F84" s="377">
        <f>1+COUNTIF(E$5:$F83,E84)+COUNTIF((E$5:$F83),E84=E84)</f>
        <v>5</v>
      </c>
      <c r="G84" s="356" t="str">
        <f t="shared" si="2"/>
        <v>255</v>
      </c>
      <c r="H84" s="378">
        <v>8090</v>
      </c>
      <c r="I84" s="223" t="s">
        <v>141</v>
      </c>
      <c r="J84" s="196">
        <f>IFERROR(GETPIVOTDATA("AMOUNT",PT_TB!$B$8, "ACCOUNT", D84), 0)</f>
        <v>0</v>
      </c>
      <c r="K84" s="343">
        <v>0</v>
      </c>
      <c r="L84" s="343">
        <v>0</v>
      </c>
      <c r="M84" s="343">
        <v>0</v>
      </c>
      <c r="N84" s="343">
        <v>0</v>
      </c>
      <c r="O84" s="343">
        <v>0</v>
      </c>
    </row>
    <row r="85" spans="1:15" ht="15.75" customHeight="1">
      <c r="A85" s="211">
        <f t="shared" si="13"/>
        <v>73</v>
      </c>
      <c r="B85" s="202" t="s">
        <v>448</v>
      </c>
      <c r="C85" s="202" t="s">
        <v>449</v>
      </c>
      <c r="D85" s="344" t="str">
        <f>CONCATENATE(B85," ",M_COA[[#This Row],[AccountName]])</f>
        <v>4150 Capital Gains</v>
      </c>
      <c r="E85" s="376" t="s">
        <v>328</v>
      </c>
      <c r="F85" s="377">
        <f>1+COUNTIF(E$5:$F84,E85)+COUNTIF((E$5:$F84),E85=E85)</f>
        <v>6</v>
      </c>
      <c r="G85" s="356" t="str">
        <f t="shared" si="2"/>
        <v>256</v>
      </c>
      <c r="H85" s="378">
        <v>8212</v>
      </c>
      <c r="I85" s="224" t="s">
        <v>369</v>
      </c>
      <c r="J85" s="196">
        <f>IFERROR(GETPIVOTDATA("AMOUNT",PT_TB!$B$8, "ACCOUNT", D85), 0)</f>
        <v>0</v>
      </c>
      <c r="K85" s="343">
        <v>0</v>
      </c>
      <c r="L85" s="343">
        <v>0</v>
      </c>
      <c r="M85" s="343">
        <v>0</v>
      </c>
      <c r="N85" s="343">
        <v>0</v>
      </c>
      <c r="O85" s="343">
        <v>0</v>
      </c>
    </row>
    <row r="86" spans="1:15" ht="15.75" customHeight="1">
      <c r="A86" s="211">
        <f t="shared" si="13"/>
        <v>74</v>
      </c>
      <c r="B86" s="357" t="s">
        <v>591</v>
      </c>
      <c r="C86" s="484" t="s">
        <v>453</v>
      </c>
      <c r="D86" s="344" t="str">
        <f>CONCATENATE(B86," ",M_COA[[#This Row],[AccountName]])</f>
        <v xml:space="preserve">4023 Sale of CDN Securities </v>
      </c>
      <c r="E86" s="376" t="s">
        <v>328</v>
      </c>
      <c r="F86" s="377">
        <f>1+COUNTIF(E$5:$F85,E86)+COUNTIF((E$5:$F85),E86=E86)</f>
        <v>7</v>
      </c>
      <c r="G86" s="356" t="str">
        <f t="shared" si="2"/>
        <v>257</v>
      </c>
      <c r="H86" s="378">
        <v>8212</v>
      </c>
      <c r="I86" s="224" t="s">
        <v>369</v>
      </c>
      <c r="J86" s="196">
        <f>IFERROR(GETPIVOTDATA("AMOUNT",PT_TB!$B$8, "ACCOUNT", D86), 0)</f>
        <v>-109486.56000000001</v>
      </c>
      <c r="K86" s="343">
        <v>0</v>
      </c>
      <c r="L86" s="343">
        <v>0</v>
      </c>
      <c r="M86" s="343">
        <v>0</v>
      </c>
      <c r="N86" s="343">
        <v>0</v>
      </c>
      <c r="O86" s="343">
        <v>0</v>
      </c>
    </row>
    <row r="87" spans="1:15" ht="15.75" customHeight="1">
      <c r="A87" s="211">
        <f t="shared" si="13"/>
        <v>75</v>
      </c>
      <c r="B87" s="357" t="s">
        <v>589</v>
      </c>
      <c r="C87" s="272" t="s">
        <v>456</v>
      </c>
      <c r="D87" s="344" t="str">
        <f>CONCATENATE(B87," ",M_COA[[#This Row],[AccountName]])</f>
        <v>4156 Cost of CDN Securities Sold</v>
      </c>
      <c r="E87" s="376" t="s">
        <v>328</v>
      </c>
      <c r="F87" s="377">
        <f>1+COUNTIF(E$5:$F86,E87)+COUNTIF((E$5:$F86),E87=E87)</f>
        <v>8</v>
      </c>
      <c r="G87" s="356" t="str">
        <f t="shared" ref="G87:G166" si="16">CONCATENATE(E87,F87)</f>
        <v>258</v>
      </c>
      <c r="H87" s="378">
        <v>8212</v>
      </c>
      <c r="I87" s="224" t="s">
        <v>369</v>
      </c>
      <c r="J87" s="196">
        <f>IFERROR(GETPIVOTDATA("AMOUNT",PT_TB!$B$8, "ACCOUNT", D87), 0)</f>
        <v>109667.01</v>
      </c>
      <c r="K87" s="343">
        <v>0</v>
      </c>
      <c r="L87" s="343">
        <v>0</v>
      </c>
      <c r="M87" s="343">
        <v>0</v>
      </c>
      <c r="N87" s="343">
        <v>0</v>
      </c>
      <c r="O87" s="343">
        <v>0</v>
      </c>
    </row>
    <row r="88" spans="1:15" ht="15.75" customHeight="1">
      <c r="A88" s="211">
        <f t="shared" si="13"/>
        <v>76</v>
      </c>
      <c r="B88" s="357" t="s">
        <v>450</v>
      </c>
      <c r="C88" s="202" t="s">
        <v>451</v>
      </c>
      <c r="D88" s="344" t="str">
        <f>CONCATENATE(B88," ",M_COA[[#This Row],[AccountName]])</f>
        <v>4170 US Sale of Securities</v>
      </c>
      <c r="E88" s="376" t="s">
        <v>328</v>
      </c>
      <c r="F88" s="377">
        <f>1+COUNTIF(E$5:$F87,E88)+COUNTIF((E$5:$F87),E88=E88)</f>
        <v>9</v>
      </c>
      <c r="G88" s="356" t="str">
        <f t="shared" si="16"/>
        <v>259</v>
      </c>
      <c r="H88" s="378">
        <v>8212</v>
      </c>
      <c r="I88" s="224" t="s">
        <v>369</v>
      </c>
      <c r="J88" s="196">
        <f>IFERROR(GETPIVOTDATA("AMOUNT",PT_TB!$B$8, "ACCOUNT", D88), 0)</f>
        <v>-52510.859999999993</v>
      </c>
      <c r="K88" s="343">
        <v>0</v>
      </c>
      <c r="L88" s="343">
        <v>0</v>
      </c>
      <c r="M88" s="343">
        <v>0</v>
      </c>
      <c r="N88" s="343">
        <v>0</v>
      </c>
      <c r="O88" s="343">
        <v>0</v>
      </c>
    </row>
    <row r="89" spans="1:15" ht="15.75" customHeight="1">
      <c r="A89" s="211">
        <f t="shared" si="13"/>
        <v>77</v>
      </c>
      <c r="B89" s="357" t="s">
        <v>590</v>
      </c>
      <c r="C89" s="272" t="s">
        <v>593</v>
      </c>
      <c r="D89" s="344" t="str">
        <f>CONCATENATE(B89," ",M_COA[[#This Row],[AccountName]])</f>
        <v>4171 Cost of US Securities Sold</v>
      </c>
      <c r="E89" s="376" t="s">
        <v>328</v>
      </c>
      <c r="F89" s="377">
        <f>1+COUNTIF(E$5:$F88,E89)+COUNTIF((E$5:$F88),E89=E89)</f>
        <v>10</v>
      </c>
      <c r="G89" s="356" t="str">
        <f t="shared" si="16"/>
        <v>2510</v>
      </c>
      <c r="H89" s="378">
        <v>8212</v>
      </c>
      <c r="I89" s="224" t="s">
        <v>369</v>
      </c>
      <c r="J89" s="196">
        <f>IFERROR(GETPIVOTDATA("AMOUNT",PT_TB!$B$8, "ACCOUNT", D89), 0)</f>
        <v>54736.17</v>
      </c>
      <c r="K89" s="343">
        <v>0</v>
      </c>
      <c r="L89" s="343">
        <v>0</v>
      </c>
      <c r="M89" s="343">
        <v>0</v>
      </c>
      <c r="N89" s="343">
        <v>0</v>
      </c>
      <c r="O89" s="343">
        <v>0</v>
      </c>
    </row>
    <row r="90" spans="1:15" ht="15.75" customHeight="1">
      <c r="A90" s="211">
        <f t="shared" si="13"/>
        <v>78</v>
      </c>
      <c r="B90" s="202" t="s">
        <v>452</v>
      </c>
      <c r="C90" s="202" t="s">
        <v>143</v>
      </c>
      <c r="D90" s="344" t="str">
        <f>CONCATENATE(B90," ",M_COA[[#This Row],[AccountName]])</f>
        <v>4190 Unrealized gain/loss on Canadian securities</v>
      </c>
      <c r="E90" s="376" t="s">
        <v>328</v>
      </c>
      <c r="F90" s="377">
        <f>1+COUNTIF(E$5:$F89,E90)+COUNTIF((E$5:$F89),E90=E90)</f>
        <v>11</v>
      </c>
      <c r="G90" s="356" t="str">
        <f t="shared" si="16"/>
        <v>2511</v>
      </c>
      <c r="H90" s="378">
        <v>8311</v>
      </c>
      <c r="I90" s="344" t="s">
        <v>636</v>
      </c>
      <c r="J90" s="196">
        <f>IFERROR(GETPIVOTDATA("AMOUNT",PT_TB!$B$8, "ACCOUNT", D90), 0)</f>
        <v>-12350</v>
      </c>
      <c r="K90" s="343">
        <v>0</v>
      </c>
      <c r="L90" s="343">
        <v>0</v>
      </c>
      <c r="M90" s="343">
        <v>0</v>
      </c>
      <c r="N90" s="343">
        <v>0</v>
      </c>
      <c r="O90" s="343">
        <v>0</v>
      </c>
    </row>
    <row r="91" spans="1:15" ht="15.75" customHeight="1">
      <c r="A91" s="211">
        <f t="shared" si="13"/>
        <v>79</v>
      </c>
      <c r="B91" s="357" t="s">
        <v>1551</v>
      </c>
      <c r="C91" s="202" t="s">
        <v>144</v>
      </c>
      <c r="D91" s="344" t="str">
        <f>CONCATENATE(B91," ",M_COA[[#This Row],[AccountName]])</f>
        <v>4191 Unrealized gain/loss on foreign securities</v>
      </c>
      <c r="E91" s="376" t="s">
        <v>328</v>
      </c>
      <c r="F91" s="377">
        <f>1+COUNTIF(E$5:$F90,E91)+COUNTIF((E$5:$F90),E91=E91)</f>
        <v>12</v>
      </c>
      <c r="G91" s="356" t="str">
        <f t="shared" si="16"/>
        <v>2512</v>
      </c>
      <c r="H91" s="378">
        <v>8311</v>
      </c>
      <c r="I91" s="344" t="s">
        <v>636</v>
      </c>
      <c r="J91" s="196">
        <f>IFERROR(GETPIVOTDATA("AMOUNT",PT_TB!$B$8, "ACCOUNT", D91), 0)</f>
        <v>-6265</v>
      </c>
      <c r="K91" s="343">
        <v>0</v>
      </c>
      <c r="L91" s="343">
        <v>0</v>
      </c>
      <c r="M91" s="343">
        <v>0</v>
      </c>
      <c r="N91" s="343">
        <v>0</v>
      </c>
      <c r="O91" s="343">
        <v>0</v>
      </c>
    </row>
    <row r="92" spans="1:15" ht="15.75" customHeight="1">
      <c r="A92" s="211">
        <f t="shared" si="13"/>
        <v>80</v>
      </c>
      <c r="B92" s="484" t="s">
        <v>454</v>
      </c>
      <c r="C92" s="484" t="s">
        <v>455</v>
      </c>
      <c r="D92" s="344" t="str">
        <f>CONCATENATE(B92," ",M_COA[[#This Row],[AccountName]])</f>
        <v>4299 Investment management fees</v>
      </c>
      <c r="E92" s="376" t="s">
        <v>328</v>
      </c>
      <c r="F92" s="377">
        <f>1+COUNTIF(E$5:$F91,E92)+COUNTIF((E$5:$F91),E92=E92)</f>
        <v>13</v>
      </c>
      <c r="G92" s="356" t="str">
        <f t="shared" si="16"/>
        <v>2513</v>
      </c>
      <c r="H92" s="378">
        <v>8871</v>
      </c>
      <c r="I92" s="224" t="s">
        <v>362</v>
      </c>
      <c r="J92" s="196">
        <f>IFERROR(GETPIVOTDATA("AMOUNT",PT_TB!$B$8, "ACCOUNT", D92), 0)</f>
        <v>0</v>
      </c>
      <c r="K92" s="343">
        <v>0</v>
      </c>
      <c r="L92" s="343">
        <v>0</v>
      </c>
      <c r="M92" s="343">
        <v>0</v>
      </c>
      <c r="N92" s="343">
        <v>0</v>
      </c>
      <c r="O92" s="343">
        <v>0</v>
      </c>
    </row>
    <row r="93" spans="1:15" ht="15.75" customHeight="1">
      <c r="A93" s="211" t="s">
        <v>0</v>
      </c>
      <c r="B93" s="196" t="s">
        <v>0</v>
      </c>
      <c r="C93" s="196" t="s">
        <v>0</v>
      </c>
      <c r="D93" s="384" t="s">
        <v>331</v>
      </c>
      <c r="E93" s="344" t="s">
        <v>0</v>
      </c>
      <c r="F93" s="377" t="s">
        <v>0</v>
      </c>
      <c r="G93" s="356" t="str">
        <f t="shared" si="16"/>
        <v xml:space="preserve">  </v>
      </c>
      <c r="H93" s="378" t="s">
        <v>511</v>
      </c>
      <c r="I93" s="226" t="s">
        <v>331</v>
      </c>
      <c r="J93" s="196">
        <f>IFERROR(GETPIVOTDATA("AMOUNT",PT_TB!$B$8, "ACCOUNT", D93), 0)</f>
        <v>0</v>
      </c>
      <c r="K93" s="343">
        <v>0</v>
      </c>
      <c r="L93" s="343">
        <v>0</v>
      </c>
      <c r="M93" s="343">
        <v>0</v>
      </c>
      <c r="N93" s="343">
        <v>0</v>
      </c>
      <c r="O93" s="343">
        <v>0</v>
      </c>
    </row>
    <row r="94" spans="1:15" ht="15.75" customHeight="1">
      <c r="A94" s="211">
        <v>81</v>
      </c>
      <c r="B94" s="700" t="s">
        <v>1162</v>
      </c>
      <c r="C94" s="272" t="s">
        <v>286</v>
      </c>
      <c r="D94" s="344" t="str">
        <f>CONCATENATE(B94," ",M_COA[[#This Row],[AccountName]])</f>
        <v>5500 Cost of Sales</v>
      </c>
      <c r="E94" s="376" t="s">
        <v>287</v>
      </c>
      <c r="F94" s="377">
        <f>1+COUNTIF(E$5:$F93,E94)+COUNTIF((E$5:$F93),E94=E94)</f>
        <v>1</v>
      </c>
      <c r="G94" s="356" t="str">
        <f t="shared" si="16"/>
        <v>301</v>
      </c>
      <c r="H94" s="378">
        <v>8320</v>
      </c>
      <c r="I94" s="224" t="s">
        <v>1369</v>
      </c>
      <c r="J94" s="196">
        <f>IFERROR(GETPIVOTDATA("AMOUNT",PT_TB!$B$8, "ACCOUNT", D94), 0)</f>
        <v>2045727.52</v>
      </c>
      <c r="K94" s="343">
        <v>1885746.6099999999</v>
      </c>
      <c r="L94" s="343">
        <v>1778869.04</v>
      </c>
      <c r="M94" s="343">
        <v>1940017.46</v>
      </c>
      <c r="N94" s="343">
        <v>1538245.7000000002</v>
      </c>
      <c r="O94" s="343">
        <v>0</v>
      </c>
    </row>
    <row r="95" spans="1:15" ht="15.75" customHeight="1">
      <c r="A95" s="211">
        <f t="shared" si="13"/>
        <v>82</v>
      </c>
      <c r="B95" s="700" t="s">
        <v>1163</v>
      </c>
      <c r="C95" s="272" t="s">
        <v>1231</v>
      </c>
      <c r="D95" s="344" t="str">
        <f>CONCATENATE(B95," ",M_COA[[#This Row],[AccountName]])</f>
        <v>5600 Direct supplies</v>
      </c>
      <c r="E95" s="376" t="s">
        <v>287</v>
      </c>
      <c r="F95" s="377">
        <f>1+COUNTIF(E$5:$F94,E95)+COUNTIF((E$5:$F94),E95=E95)</f>
        <v>2</v>
      </c>
      <c r="G95" s="356" t="str">
        <f t="shared" ref="G95" si="17">CONCATENATE(E95,F95)</f>
        <v>302</v>
      </c>
      <c r="H95" s="378">
        <v>8350</v>
      </c>
      <c r="I95" s="224" t="s">
        <v>1368</v>
      </c>
      <c r="J95" s="196">
        <f>IFERROR(GETPIVOTDATA("AMOUNT",PT_TB!$B$8, "ACCOUNT", D95), 0)</f>
        <v>39416.1</v>
      </c>
      <c r="K95" s="343">
        <v>28303.670000000002</v>
      </c>
      <c r="L95" s="343">
        <v>33731.869999999995</v>
      </c>
      <c r="M95" s="343">
        <v>34454.36</v>
      </c>
      <c r="N95" s="343">
        <v>54218.69</v>
      </c>
      <c r="O95" s="343">
        <v>0</v>
      </c>
    </row>
    <row r="96" spans="1:15" ht="15.75" customHeight="1">
      <c r="A96" s="211">
        <f t="shared" si="13"/>
        <v>83</v>
      </c>
      <c r="B96" s="700" t="s">
        <v>1160</v>
      </c>
      <c r="C96" s="272" t="s">
        <v>1229</v>
      </c>
      <c r="D96" s="344" t="str">
        <f>CONCATENATE(B96," ",M_COA[[#This Row],[AccountName]])</f>
        <v>5195 Direct Labour</v>
      </c>
      <c r="E96" s="376" t="s">
        <v>287</v>
      </c>
      <c r="F96" s="377">
        <f>1+COUNTIF(E$5:$F95,E96)+COUNTIF((E$5:$F95),E96=E96)</f>
        <v>3</v>
      </c>
      <c r="G96" s="356" t="str">
        <f t="shared" ref="G96:G97" si="18">CONCATENATE(E96,F96)</f>
        <v>303</v>
      </c>
      <c r="H96" s="378">
        <v>8340</v>
      </c>
      <c r="I96" s="224" t="s">
        <v>1229</v>
      </c>
      <c r="J96" s="196">
        <f>IFERROR(GETPIVOTDATA("AMOUNT",PT_TB!$B$8, "ACCOUNT", D96), 0)</f>
        <v>1392350.47</v>
      </c>
      <c r="K96" s="343">
        <v>1210507.23</v>
      </c>
      <c r="L96" s="343">
        <v>1113755.6599999999</v>
      </c>
      <c r="M96" s="343">
        <v>1078928.1199999999</v>
      </c>
      <c r="N96" s="343">
        <v>917383.28</v>
      </c>
      <c r="O96" s="343">
        <v>0</v>
      </c>
    </row>
    <row r="97" spans="1:15" ht="15.75" customHeight="1">
      <c r="A97" s="211">
        <f t="shared" si="13"/>
        <v>84</v>
      </c>
      <c r="B97" s="700" t="s">
        <v>1161</v>
      </c>
      <c r="C97" s="272" t="s">
        <v>1230</v>
      </c>
      <c r="D97" s="344" t="str">
        <f>CONCATENATE(B97," ",M_COA[[#This Row],[AccountName]])</f>
        <v>5196 Direct labour wage costs</v>
      </c>
      <c r="E97" s="376" t="s">
        <v>287</v>
      </c>
      <c r="F97" s="377">
        <f>1+COUNTIF(E$5:$F96,E97)+COUNTIF((E$5:$F96),E97=E97)</f>
        <v>4</v>
      </c>
      <c r="G97" s="356" t="str">
        <f t="shared" si="18"/>
        <v>304</v>
      </c>
      <c r="H97" s="378">
        <v>8340</v>
      </c>
      <c r="I97" s="224" t="s">
        <v>1229</v>
      </c>
      <c r="J97" s="196">
        <f>IFERROR(GETPIVOTDATA("AMOUNT",PT_TB!$B$8, "ACCOUNT", D97), 0)</f>
        <v>160423.6</v>
      </c>
      <c r="K97" s="343">
        <v>145056.65000000002</v>
      </c>
      <c r="L97" s="343">
        <v>127740.73999999999</v>
      </c>
      <c r="M97" s="343">
        <v>117483.64000000001</v>
      </c>
      <c r="N97" s="343">
        <v>120128.30000000002</v>
      </c>
      <c r="O97" s="343">
        <v>0</v>
      </c>
    </row>
    <row r="98" spans="1:15" ht="15.75" customHeight="1">
      <c r="A98" s="211">
        <f t="shared" si="13"/>
        <v>85</v>
      </c>
      <c r="B98" s="229" t="s">
        <v>457</v>
      </c>
      <c r="C98" s="229" t="s">
        <v>291</v>
      </c>
      <c r="D98" s="344" t="str">
        <f>CONCATENATE(B98," ",M_COA[[#This Row],[AccountName]])</f>
        <v>4910 Equipment</v>
      </c>
      <c r="E98" s="376" t="s">
        <v>287</v>
      </c>
      <c r="F98" s="377">
        <f>1+COUNTIF(E$5:$F97,E98)+COUNTIF((E$5:$F97),E98=E98)</f>
        <v>5</v>
      </c>
      <c r="G98" s="356" t="str">
        <f t="shared" si="16"/>
        <v>305</v>
      </c>
      <c r="H98" s="378">
        <v>8320</v>
      </c>
      <c r="I98" s="224" t="s">
        <v>1369</v>
      </c>
      <c r="J98" s="196">
        <f>IFERROR(GETPIVOTDATA("AMOUNT",PT_TB!$B$8, "ACCOUNT", D98), 0)</f>
        <v>115</v>
      </c>
      <c r="K98" s="343">
        <v>0</v>
      </c>
      <c r="L98" s="343">
        <v>0</v>
      </c>
      <c r="M98" s="343">
        <v>0</v>
      </c>
      <c r="N98" s="343">
        <v>0</v>
      </c>
      <c r="O98" s="343">
        <v>0</v>
      </c>
    </row>
    <row r="99" spans="1:15" ht="15.75" customHeight="1">
      <c r="A99" s="211">
        <f t="shared" si="13"/>
        <v>86</v>
      </c>
      <c r="B99" s="229" t="s">
        <v>458</v>
      </c>
      <c r="C99" s="229" t="s">
        <v>459</v>
      </c>
      <c r="D99" s="344" t="str">
        <f>CONCATENATE(B99," ",M_COA[[#This Row],[AccountName]])</f>
        <v>4912 Freight\Courier</v>
      </c>
      <c r="E99" s="376" t="s">
        <v>287</v>
      </c>
      <c r="F99" s="377">
        <f>1+COUNTIF(E$5:$F98,E99)+COUNTIF((E$5:$F98),E99=E99)</f>
        <v>6</v>
      </c>
      <c r="G99" s="356" t="str">
        <f t="shared" si="16"/>
        <v>306</v>
      </c>
      <c r="H99" s="378">
        <v>8320</v>
      </c>
      <c r="I99" s="224" t="s">
        <v>1369</v>
      </c>
      <c r="J99" s="196">
        <f>IFERROR(GETPIVOTDATA("AMOUNT",PT_TB!$B$8, "ACCOUNT", D99), 0)</f>
        <v>115</v>
      </c>
      <c r="K99" s="343">
        <v>0</v>
      </c>
      <c r="L99" s="343">
        <v>0</v>
      </c>
      <c r="M99" s="343">
        <v>0</v>
      </c>
      <c r="N99" s="343">
        <v>0</v>
      </c>
      <c r="O99" s="343">
        <v>0</v>
      </c>
    </row>
    <row r="100" spans="1:15" ht="15.75" customHeight="1">
      <c r="A100" s="211">
        <f t="shared" si="13"/>
        <v>87</v>
      </c>
      <c r="B100" s="196" t="s">
        <v>0</v>
      </c>
      <c r="C100" s="196" t="s">
        <v>0</v>
      </c>
      <c r="D100" s="385" t="s">
        <v>246</v>
      </c>
      <c r="E100" s="344" t="s">
        <v>0</v>
      </c>
      <c r="F100" s="377" t="s">
        <v>0</v>
      </c>
      <c r="G100" s="356" t="str">
        <f t="shared" si="16"/>
        <v xml:space="preserve">  </v>
      </c>
      <c r="H100" s="378" t="s">
        <v>512</v>
      </c>
      <c r="I100" s="226" t="s">
        <v>246</v>
      </c>
      <c r="J100" s="196">
        <f>IFERROR(GETPIVOTDATA("AMOUNT",PT_TB!$B$8, "ACCOUNT", D100), 0)</f>
        <v>0</v>
      </c>
      <c r="K100" s="343">
        <v>0</v>
      </c>
      <c r="L100" s="343">
        <v>0</v>
      </c>
      <c r="M100" s="343">
        <v>0</v>
      </c>
      <c r="N100" s="343">
        <v>0</v>
      </c>
      <c r="O100" s="343">
        <v>0</v>
      </c>
    </row>
    <row r="101" spans="1:15" ht="15.75" customHeight="1">
      <c r="A101" s="211" t="s">
        <v>0</v>
      </c>
      <c r="B101" s="486" t="s">
        <v>1166</v>
      </c>
      <c r="C101" s="432" t="s">
        <v>1234</v>
      </c>
      <c r="D101" s="344" t="str">
        <f>CONCATENATE(B101," ",M_COA[[#This Row],[AccountName]])</f>
        <v>6185 Admin Salaries</v>
      </c>
      <c r="E101" s="386" t="s">
        <v>319</v>
      </c>
      <c r="F101" s="377">
        <f>1+COUNTIF(E$5:$F100,E101)+COUNTIF((E$5:$F100),E101=E101)</f>
        <v>1</v>
      </c>
      <c r="G101" s="356" t="str">
        <f t="shared" si="16"/>
        <v>40011</v>
      </c>
      <c r="H101" s="387">
        <v>9060</v>
      </c>
      <c r="I101" s="388" t="s">
        <v>544</v>
      </c>
      <c r="J101" s="196">
        <f>IFERROR(GETPIVOTDATA("AMOUNT",PT_TB!$B$8, "ACCOUNT", D101), 0)</f>
        <v>213665.01</v>
      </c>
      <c r="K101" s="343">
        <v>347842.81</v>
      </c>
      <c r="L101" s="343">
        <v>221717.01</v>
      </c>
      <c r="M101" s="343">
        <v>141531.21</v>
      </c>
      <c r="N101" s="343">
        <v>130466.01</v>
      </c>
      <c r="O101" s="343">
        <v>0</v>
      </c>
    </row>
    <row r="102" spans="1:15" ht="15.75" customHeight="1">
      <c r="A102" s="211">
        <v>88</v>
      </c>
      <c r="B102" s="486" t="s">
        <v>1167</v>
      </c>
      <c r="C102" s="432" t="s">
        <v>1235</v>
      </c>
      <c r="D102" s="344" t="str">
        <f>CONCATENATE(B102," ",M_COA[[#This Row],[AccountName]])</f>
        <v>6186 Admin Wage costs</v>
      </c>
      <c r="E102" s="386" t="s">
        <v>319</v>
      </c>
      <c r="F102" s="377">
        <f>1+COUNTIF(E$5:$F101,E102)+COUNTIF((E$5:$F101),E102=E102)</f>
        <v>2</v>
      </c>
      <c r="G102" s="356" t="str">
        <f t="shared" si="16"/>
        <v>40012</v>
      </c>
      <c r="H102" s="387">
        <v>8620</v>
      </c>
      <c r="I102" s="388" t="s">
        <v>460</v>
      </c>
      <c r="J102" s="196">
        <f>IFERROR(GETPIVOTDATA("AMOUNT",PT_TB!$B$8, "ACCOUNT", D102), 0)</f>
        <v>32273.1</v>
      </c>
      <c r="K102" s="343">
        <v>28465.34</v>
      </c>
      <c r="L102" s="343">
        <v>22991.97</v>
      </c>
      <c r="M102" s="343">
        <v>18914.04</v>
      </c>
      <c r="N102" s="343">
        <v>22162.12</v>
      </c>
      <c r="O102" s="343">
        <v>0</v>
      </c>
    </row>
    <row r="103" spans="1:15" ht="15.75" customHeight="1">
      <c r="A103" s="211">
        <f t="shared" si="13"/>
        <v>89</v>
      </c>
      <c r="B103" s="432" t="s">
        <v>461</v>
      </c>
      <c r="C103" s="432" t="s">
        <v>462</v>
      </c>
      <c r="D103" s="344" t="str">
        <f>CONCATENATE(B103," ",M_COA[[#This Row],[AccountName]])</f>
        <v>5103 WHSCC</v>
      </c>
      <c r="E103" s="386" t="s">
        <v>319</v>
      </c>
      <c r="F103" s="377">
        <f>1+COUNTIF(E$5:$F102,E103)+COUNTIF((E$5:$F102),E103=E103)</f>
        <v>3</v>
      </c>
      <c r="G103" s="356" t="str">
        <f t="shared" si="16"/>
        <v>40013</v>
      </c>
      <c r="H103" s="387">
        <v>8622</v>
      </c>
      <c r="I103" s="388" t="s">
        <v>462</v>
      </c>
      <c r="J103" s="196">
        <f>IFERROR(GETPIVOTDATA("AMOUNT",PT_TB!$B$8, "ACCOUNT", D103), 0)</f>
        <v>0</v>
      </c>
      <c r="K103" s="343">
        <v>0</v>
      </c>
      <c r="L103" s="343">
        <v>0</v>
      </c>
      <c r="M103" s="343">
        <v>0</v>
      </c>
      <c r="N103" s="343">
        <v>0</v>
      </c>
      <c r="O103" s="343">
        <v>0</v>
      </c>
    </row>
    <row r="104" spans="1:15" ht="15.75" customHeight="1">
      <c r="A104" s="211">
        <f t="shared" si="13"/>
        <v>90</v>
      </c>
      <c r="B104" s="485" t="s">
        <v>463</v>
      </c>
      <c r="C104" s="485" t="s">
        <v>464</v>
      </c>
      <c r="D104" s="344" t="str">
        <f>CONCATENATE(B104," ",M_COA[[#This Row],[AccountName]])</f>
        <v>5104 Payroll Expense - Directors</v>
      </c>
      <c r="E104" s="386" t="s">
        <v>319</v>
      </c>
      <c r="F104" s="377">
        <f>1+COUNTIF(E$5:$F103,E104)+COUNTIF((E$5:$F103),E104=E104)</f>
        <v>4</v>
      </c>
      <c r="G104" s="356" t="str">
        <f t="shared" si="16"/>
        <v>40014</v>
      </c>
      <c r="H104" s="387">
        <v>9061</v>
      </c>
      <c r="I104" s="388" t="s">
        <v>464</v>
      </c>
      <c r="J104" s="196">
        <f>IFERROR(GETPIVOTDATA("AMOUNT",PT_TB!$B$8, "ACCOUNT", D104), 0)</f>
        <v>0</v>
      </c>
      <c r="K104" s="343">
        <v>0</v>
      </c>
      <c r="L104" s="343">
        <v>0</v>
      </c>
      <c r="M104" s="343">
        <v>0</v>
      </c>
      <c r="N104" s="343">
        <v>0</v>
      </c>
      <c r="O104" s="343">
        <v>0</v>
      </c>
    </row>
    <row r="105" spans="1:15" ht="15.75" customHeight="1">
      <c r="A105" s="211">
        <f t="shared" si="13"/>
        <v>91</v>
      </c>
      <c r="B105" s="701" t="s">
        <v>1164</v>
      </c>
      <c r="C105" s="485" t="s">
        <v>1232</v>
      </c>
      <c r="D105" s="344" t="str">
        <f>CONCATENATE(B105," ",M_COA[[#This Row],[AccountName]])</f>
        <v>6175 Executive salaries</v>
      </c>
      <c r="E105" s="386" t="s">
        <v>319</v>
      </c>
      <c r="F105" s="377">
        <f>1+COUNTIF(E$5:$F104,E105)+COUNTIF((E$5:$F104),E105=E105)</f>
        <v>5</v>
      </c>
      <c r="G105" s="356" t="str">
        <f t="shared" si="16"/>
        <v>40015</v>
      </c>
      <c r="H105" s="387">
        <v>9060</v>
      </c>
      <c r="I105" s="388" t="s">
        <v>544</v>
      </c>
      <c r="J105" s="196">
        <f>IFERROR(GETPIVOTDATA("AMOUNT",PT_TB!$B$8, "ACCOUNT", D105), 0)</f>
        <v>192845.39</v>
      </c>
      <c r="K105" s="343">
        <v>446214.24</v>
      </c>
      <c r="L105" s="343">
        <v>387827.42</v>
      </c>
      <c r="M105" s="343">
        <v>236848</v>
      </c>
      <c r="N105" s="343">
        <v>180438.47</v>
      </c>
      <c r="O105" s="343">
        <v>0</v>
      </c>
    </row>
    <row r="106" spans="1:15" ht="15.75" customHeight="1">
      <c r="A106" s="211">
        <f t="shared" si="13"/>
        <v>92</v>
      </c>
      <c r="B106" s="480" t="s">
        <v>1165</v>
      </c>
      <c r="C106" s="229" t="s">
        <v>1233</v>
      </c>
      <c r="D106" s="344" t="str">
        <f>CONCATENATE(B106," ",M_COA[[#This Row],[AccountName]])</f>
        <v>6176 Executive wage costs</v>
      </c>
      <c r="E106" s="386" t="s">
        <v>319</v>
      </c>
      <c r="F106" s="377">
        <f>1+COUNTIF(E$5:$F105,E106)+COUNTIF((E$5:$F105),E106=E106)</f>
        <v>6</v>
      </c>
      <c r="G106" s="356" t="str">
        <f t="shared" si="16"/>
        <v>40016</v>
      </c>
      <c r="H106" s="387">
        <v>9063</v>
      </c>
      <c r="I106" s="388" t="s">
        <v>1483</v>
      </c>
      <c r="J106" s="196">
        <f>IFERROR(GETPIVOTDATA("AMOUNT",PT_TB!$B$8, "ACCOUNT", D106), 0)</f>
        <v>13851.27</v>
      </c>
      <c r="K106" s="343">
        <v>18604.11</v>
      </c>
      <c r="L106" s="343">
        <v>15883.429999999998</v>
      </c>
      <c r="M106" s="343">
        <v>18452.120000000003</v>
      </c>
      <c r="N106" s="343">
        <v>15629.48</v>
      </c>
      <c r="O106" s="343">
        <v>0</v>
      </c>
    </row>
    <row r="107" spans="1:15" ht="15.75" customHeight="1">
      <c r="A107" s="211">
        <f t="shared" si="13"/>
        <v>93</v>
      </c>
      <c r="B107" s="229" t="s">
        <v>465</v>
      </c>
      <c r="C107" s="229" t="s">
        <v>466</v>
      </c>
      <c r="D107" s="344" t="str">
        <f>CONCATENATE(B107," ",M_COA[[#This Row],[AccountName]])</f>
        <v>5710 Group insurance</v>
      </c>
      <c r="E107" s="386" t="s">
        <v>319</v>
      </c>
      <c r="F107" s="377">
        <f>1+COUNTIF(E$5:$F106,E107)+COUNTIF((E$5:$F106),E107=E107)</f>
        <v>7</v>
      </c>
      <c r="G107" s="356" t="str">
        <f t="shared" si="16"/>
        <v>40017</v>
      </c>
      <c r="H107" s="387">
        <v>8620</v>
      </c>
      <c r="I107" s="388" t="s">
        <v>460</v>
      </c>
      <c r="J107" s="196">
        <f>IFERROR(GETPIVOTDATA("AMOUNT",PT_TB!$B$8, "ACCOUNT", D107), 0)</f>
        <v>0</v>
      </c>
      <c r="K107" s="343">
        <v>0</v>
      </c>
      <c r="L107" s="343">
        <v>0</v>
      </c>
      <c r="M107" s="343">
        <v>0</v>
      </c>
      <c r="N107" s="343">
        <v>0</v>
      </c>
      <c r="O107" s="343">
        <v>0</v>
      </c>
    </row>
    <row r="108" spans="1:15" ht="15.75" customHeight="1">
      <c r="A108" s="211">
        <f t="shared" si="13"/>
        <v>94</v>
      </c>
      <c r="B108" s="229" t="s">
        <v>467</v>
      </c>
      <c r="C108" s="229" t="s">
        <v>468</v>
      </c>
      <c r="D108" s="344" t="str">
        <f>CONCATENATE(B108," ",M_COA[[#This Row],[AccountName]])</f>
        <v>5108 Training</v>
      </c>
      <c r="E108" s="386" t="s">
        <v>319</v>
      </c>
      <c r="F108" s="377">
        <f>1+COUNTIF(E$5:$F107,E108)+COUNTIF((E$5:$F107),E108=E108)</f>
        <v>8</v>
      </c>
      <c r="G108" s="356" t="str">
        <f t="shared" si="16"/>
        <v>40018</v>
      </c>
      <c r="H108" s="387">
        <v>9060</v>
      </c>
      <c r="I108" s="388" t="s">
        <v>544</v>
      </c>
      <c r="J108" s="196">
        <f>IFERROR(GETPIVOTDATA("AMOUNT",PT_TB!$B$8, "ACCOUNT", D108), 0)</f>
        <v>0</v>
      </c>
      <c r="K108" s="343">
        <v>0</v>
      </c>
      <c r="L108" s="343">
        <v>0</v>
      </c>
      <c r="M108" s="343">
        <v>0</v>
      </c>
      <c r="N108" s="343">
        <v>0</v>
      </c>
      <c r="O108" s="343">
        <v>0</v>
      </c>
    </row>
    <row r="109" spans="1:15" ht="15.75" customHeight="1">
      <c r="A109" s="211">
        <f t="shared" si="13"/>
        <v>95</v>
      </c>
      <c r="B109" s="229" t="s">
        <v>469</v>
      </c>
      <c r="C109" s="229" t="s">
        <v>470</v>
      </c>
      <c r="D109" s="344" t="str">
        <f>CONCATENATE(B109," ",M_COA[[#This Row],[AccountName]])</f>
        <v>5106 Payroll Expenses</v>
      </c>
      <c r="E109" s="386" t="s">
        <v>319</v>
      </c>
      <c r="F109" s="377">
        <f>1+COUNTIF(E$5:$F108,E109)+COUNTIF((E$5:$F108),E109=E109)</f>
        <v>9</v>
      </c>
      <c r="G109" s="356" t="str">
        <f t="shared" si="16"/>
        <v>40019</v>
      </c>
      <c r="H109" s="387">
        <v>9060</v>
      </c>
      <c r="I109" s="388" t="s">
        <v>544</v>
      </c>
      <c r="J109" s="196">
        <f>IFERROR(GETPIVOTDATA("AMOUNT",PT_TB!$B$8, "ACCOUNT", D109), 0)</f>
        <v>0</v>
      </c>
      <c r="K109" s="343">
        <v>0</v>
      </c>
      <c r="L109" s="343">
        <v>0</v>
      </c>
      <c r="M109" s="343">
        <v>0</v>
      </c>
      <c r="N109" s="343">
        <v>0</v>
      </c>
      <c r="O109" s="343">
        <v>0</v>
      </c>
    </row>
    <row r="110" spans="1:15" ht="15.75" customHeight="1">
      <c r="A110" s="211">
        <f t="shared" si="13"/>
        <v>96</v>
      </c>
      <c r="B110" s="196" t="s">
        <v>0</v>
      </c>
      <c r="C110" s="196" t="s">
        <v>0</v>
      </c>
      <c r="D110" s="385" t="s">
        <v>236</v>
      </c>
      <c r="E110" s="344" t="s">
        <v>0</v>
      </c>
      <c r="F110" s="377" t="s">
        <v>0</v>
      </c>
      <c r="G110" s="356" t="str">
        <f t="shared" si="16"/>
        <v xml:space="preserve">  </v>
      </c>
      <c r="H110" s="378" t="s">
        <v>513</v>
      </c>
      <c r="I110" s="226" t="s">
        <v>236</v>
      </c>
      <c r="J110" s="196">
        <f>IFERROR(GETPIVOTDATA("AMOUNT",PT_TB!$B$8, "ACCOUNT", D110), 0)</f>
        <v>0</v>
      </c>
      <c r="K110" s="343">
        <v>0</v>
      </c>
      <c r="L110" s="343">
        <v>0</v>
      </c>
      <c r="M110" s="343">
        <v>0</v>
      </c>
      <c r="N110" s="343">
        <v>0</v>
      </c>
      <c r="O110" s="343">
        <v>0</v>
      </c>
    </row>
    <row r="111" spans="1:15" ht="15.75" customHeight="1">
      <c r="A111" s="211" t="s">
        <v>0</v>
      </c>
      <c r="B111" s="486" t="s">
        <v>1177</v>
      </c>
      <c r="C111" s="432" t="s">
        <v>251</v>
      </c>
      <c r="D111" s="344" t="str">
        <f>CONCATENATE(B111," ",M_COA[[#This Row],[AccountName]])</f>
        <v>6410 Rent</v>
      </c>
      <c r="E111" s="386" t="s">
        <v>326</v>
      </c>
      <c r="F111" s="377">
        <f>1+COUNTIF(E$5:$F110,E111)+COUNTIF((E$5:$F110),E111=E111)</f>
        <v>1</v>
      </c>
      <c r="G111" s="356" t="str">
        <f t="shared" si="16"/>
        <v>40021</v>
      </c>
      <c r="H111" s="387">
        <v>8911</v>
      </c>
      <c r="I111" s="388" t="s">
        <v>251</v>
      </c>
      <c r="J111" s="196">
        <f>IFERROR(GETPIVOTDATA("AMOUNT",PT_TB!$B$8, "ACCOUNT", D111), 0)</f>
        <v>283395.46000000002</v>
      </c>
      <c r="K111" s="343">
        <v>269846.30999999994</v>
      </c>
      <c r="L111" s="343">
        <v>249328.74000000002</v>
      </c>
      <c r="M111" s="343">
        <v>245006.46999999997</v>
      </c>
      <c r="N111" s="343">
        <v>214641.6</v>
      </c>
      <c r="O111" s="343">
        <v>0</v>
      </c>
    </row>
    <row r="112" spans="1:15" ht="15.75" customHeight="1">
      <c r="A112" s="211">
        <v>97</v>
      </c>
      <c r="B112" s="486" t="s">
        <v>1178</v>
      </c>
      <c r="C112" s="432" t="s">
        <v>252</v>
      </c>
      <c r="D112" s="344" t="str">
        <f>CONCATENATE(B112," ",M_COA[[#This Row],[AccountName]])</f>
        <v>6420 Municipal taxes</v>
      </c>
      <c r="E112" s="386" t="s">
        <v>326</v>
      </c>
      <c r="F112" s="377">
        <f>1+COUNTIF(E$5:$F111,E112)+COUNTIF((E$5:$F111),E112=E112)</f>
        <v>2</v>
      </c>
      <c r="G112" s="356" t="str">
        <f t="shared" si="16"/>
        <v>40022</v>
      </c>
      <c r="H112" s="387">
        <v>9180</v>
      </c>
      <c r="I112" s="388" t="s">
        <v>252</v>
      </c>
      <c r="J112" s="196">
        <f>IFERROR(GETPIVOTDATA("AMOUNT",PT_TB!$B$8, "ACCOUNT", D112), 0)</f>
        <v>24628.83</v>
      </c>
      <c r="K112" s="343">
        <v>23263.159999999996</v>
      </c>
      <c r="L112" s="343">
        <v>20282.66</v>
      </c>
      <c r="M112" s="343">
        <v>21881.46</v>
      </c>
      <c r="N112" s="343">
        <v>16704.769999999997</v>
      </c>
      <c r="O112" s="343">
        <v>0</v>
      </c>
    </row>
    <row r="113" spans="1:15" ht="15.75" customHeight="1">
      <c r="A113" s="211">
        <f t="shared" si="13"/>
        <v>98</v>
      </c>
      <c r="B113" s="486" t="s">
        <v>1179</v>
      </c>
      <c r="C113" s="432" t="s">
        <v>237</v>
      </c>
      <c r="D113" s="344" t="str">
        <f>CONCATENATE(B113," ",M_COA[[#This Row],[AccountName]])</f>
        <v>6430 Light and heat</v>
      </c>
      <c r="E113" s="386" t="s">
        <v>326</v>
      </c>
      <c r="F113" s="377">
        <f>1+COUNTIF(E$5:$F112,E113)+COUNTIF((E$5:$F112),E113=E113)</f>
        <v>3</v>
      </c>
      <c r="G113" s="356" t="str">
        <f t="shared" si="16"/>
        <v>40023</v>
      </c>
      <c r="H113" s="387">
        <v>9220</v>
      </c>
      <c r="I113" s="388" t="s">
        <v>237</v>
      </c>
      <c r="J113" s="196">
        <f>IFERROR(GETPIVOTDATA("AMOUNT",PT_TB!$B$8, "ACCOUNT", D113), 0)</f>
        <v>86776.81</v>
      </c>
      <c r="K113" s="343">
        <v>91172.900000000009</v>
      </c>
      <c r="L113" s="343">
        <v>87233.35</v>
      </c>
      <c r="M113" s="343">
        <v>81081.290000000008</v>
      </c>
      <c r="N113" s="343">
        <v>50635.53</v>
      </c>
      <c r="O113" s="343">
        <v>0</v>
      </c>
    </row>
    <row r="114" spans="1:15" ht="15.75" customHeight="1">
      <c r="A114" s="211">
        <f t="shared" si="13"/>
        <v>99</v>
      </c>
      <c r="B114" s="486" t="s">
        <v>1181</v>
      </c>
      <c r="C114" s="432" t="s">
        <v>1556</v>
      </c>
      <c r="D114" s="344" t="str">
        <f>CONCATENATE(B114," ",M_COA[[#This Row],[AccountName]])</f>
        <v>6450 Property repairs</v>
      </c>
      <c r="E114" s="386" t="s">
        <v>326</v>
      </c>
      <c r="F114" s="377">
        <f>1+COUNTIF(E$5:$F113,E114)+COUNTIF((E$5:$F113),E114=E114)</f>
        <v>4</v>
      </c>
      <c r="G114" s="356" t="str">
        <f t="shared" ref="G114" si="19">CONCATENATE(E114,F114)</f>
        <v>40024</v>
      </c>
      <c r="H114" s="387">
        <v>8961</v>
      </c>
      <c r="I114" s="388" t="s">
        <v>1241</v>
      </c>
      <c r="J114" s="196">
        <f>IFERROR(GETPIVOTDATA("AMOUNT",PT_TB!$B$8, "ACCOUNT", D114), 0)</f>
        <v>74904.679999999993</v>
      </c>
      <c r="K114" s="343">
        <v>38278.050000000003</v>
      </c>
      <c r="L114" s="343">
        <v>39172.479999999996</v>
      </c>
      <c r="M114" s="343">
        <v>21752.559999999998</v>
      </c>
      <c r="N114" s="343">
        <v>17963.36</v>
      </c>
      <c r="O114" s="343">
        <v>0</v>
      </c>
    </row>
    <row r="115" spans="1:15" ht="15.75" customHeight="1">
      <c r="A115" s="211">
        <f t="shared" si="13"/>
        <v>100</v>
      </c>
      <c r="B115" s="486" t="s">
        <v>1182</v>
      </c>
      <c r="C115" s="432" t="s">
        <v>1242</v>
      </c>
      <c r="D115" s="344" t="str">
        <f>CONCATENATE(B115," ",M_COA[[#This Row],[AccountName]])</f>
        <v>6455 Snow clearing</v>
      </c>
      <c r="E115" s="386" t="s">
        <v>326</v>
      </c>
      <c r="F115" s="377">
        <f>1+COUNTIF(E$5:$F114,E115)+COUNTIF((E$5:$F114),E115=E115)</f>
        <v>5</v>
      </c>
      <c r="G115" s="356" t="str">
        <f t="shared" ref="G115" si="20">CONCATENATE(E115,F115)</f>
        <v>40025</v>
      </c>
      <c r="H115" s="387">
        <v>8961</v>
      </c>
      <c r="I115" s="388" t="s">
        <v>1241</v>
      </c>
      <c r="J115" s="196">
        <f>IFERROR(GETPIVOTDATA("AMOUNT",PT_TB!$B$8, "ACCOUNT", D115), 0)</f>
        <v>1904.57</v>
      </c>
      <c r="K115" s="343">
        <v>745.44</v>
      </c>
      <c r="L115" s="343">
        <v>804.6600000000002</v>
      </c>
      <c r="M115" s="343">
        <v>2908.3399999999997</v>
      </c>
      <c r="N115" s="343">
        <v>282.03000000000003</v>
      </c>
      <c r="O115" s="343">
        <v>0</v>
      </c>
    </row>
    <row r="116" spans="1:15" ht="15.75" customHeight="1">
      <c r="A116" s="211">
        <f t="shared" si="13"/>
        <v>101</v>
      </c>
      <c r="B116" s="486" t="s">
        <v>1180</v>
      </c>
      <c r="C116" s="432" t="s">
        <v>1240</v>
      </c>
      <c r="D116" s="344" t="str">
        <f>CONCATENATE(B116," ",M_COA[[#This Row],[AccountName]])</f>
        <v>6440 Alarm</v>
      </c>
      <c r="E116" s="386" t="s">
        <v>326</v>
      </c>
      <c r="F116" s="377">
        <f>1+COUNTIF(E$5:$F113,E116)+COUNTIF((E$5:$F113),E116=E116)</f>
        <v>4</v>
      </c>
      <c r="G116" s="356" t="str">
        <f t="shared" ref="G116" si="21">CONCATENATE(E116,F116)</f>
        <v>40024</v>
      </c>
      <c r="H116" s="387">
        <v>9013</v>
      </c>
      <c r="I116" s="388" t="s">
        <v>342</v>
      </c>
      <c r="J116" s="196">
        <f>IFERROR(GETPIVOTDATA("AMOUNT",PT_TB!$B$8, "ACCOUNT", D116), 0)</f>
        <v>9416.58</v>
      </c>
      <c r="K116" s="343">
        <v>7949.2</v>
      </c>
      <c r="L116" s="343">
        <v>6476.3700000000008</v>
      </c>
      <c r="M116" s="343">
        <v>3409.6000000000004</v>
      </c>
      <c r="N116" s="343">
        <v>3408.3399999999997</v>
      </c>
      <c r="O116" s="343">
        <v>0</v>
      </c>
    </row>
    <row r="117" spans="1:15" ht="15.75" customHeight="1">
      <c r="A117" s="211">
        <f t="shared" si="13"/>
        <v>102</v>
      </c>
      <c r="B117" s="486" t="s">
        <v>1183</v>
      </c>
      <c r="C117" s="432" t="s">
        <v>1243</v>
      </c>
      <c r="D117" s="344" t="str">
        <f>CONCATENATE(B117," ",M_COA[[#This Row],[AccountName]])</f>
        <v>6460 Equipment repairs</v>
      </c>
      <c r="E117" s="386" t="s">
        <v>326</v>
      </c>
      <c r="F117" s="377">
        <f>1+COUNTIF(E$5:$F114,E117)+COUNTIF((E$5:$F114),E117=E117)</f>
        <v>5</v>
      </c>
      <c r="G117" s="356" t="str">
        <f t="shared" ref="G117" si="22">CONCATENATE(E117,F117)</f>
        <v>40025</v>
      </c>
      <c r="H117" s="387">
        <v>8961</v>
      </c>
      <c r="I117" s="388" t="s">
        <v>1241</v>
      </c>
      <c r="J117" s="196">
        <f>IFERROR(GETPIVOTDATA("AMOUNT",PT_TB!$B$8, "ACCOUNT", D117), 0)</f>
        <v>83609.789999999994</v>
      </c>
      <c r="K117" s="343">
        <v>67471.14</v>
      </c>
      <c r="L117" s="343">
        <v>41506.000000000007</v>
      </c>
      <c r="M117" s="343">
        <v>30100.9</v>
      </c>
      <c r="N117" s="343">
        <v>22775.07</v>
      </c>
      <c r="O117" s="343">
        <v>0</v>
      </c>
    </row>
    <row r="118" spans="1:15" ht="15.75" customHeight="1">
      <c r="A118" s="211">
        <f t="shared" si="13"/>
        <v>103</v>
      </c>
      <c r="B118" s="702" t="s">
        <v>1185</v>
      </c>
      <c r="C118" s="703" t="s">
        <v>1599</v>
      </c>
      <c r="D118" s="344" t="str">
        <f>CONCATENATE(B118," ",M_COA[[#This Row],[AccountName]])</f>
        <v>6487 Glass Cleaning</v>
      </c>
      <c r="E118" s="386" t="s">
        <v>326</v>
      </c>
      <c r="F118" s="377">
        <f>1+COUNTIF(E$5:$F115,E118)+COUNTIF((E$5:$F115),E118=E118)</f>
        <v>6</v>
      </c>
      <c r="G118" s="356" t="str">
        <f t="shared" ref="G118:G120" si="23">CONCATENATE(E118,F118)</f>
        <v>40026</v>
      </c>
      <c r="H118" s="387">
        <v>8961</v>
      </c>
      <c r="I118" s="388" t="s">
        <v>1241</v>
      </c>
      <c r="J118" s="196">
        <f>IFERROR(GETPIVOTDATA("AMOUNT",PT_TB!$B$8, "ACCOUNT", D118), 0)</f>
        <v>18616</v>
      </c>
      <c r="K118" s="343">
        <v>6884</v>
      </c>
      <c r="L118" s="343">
        <v>6254</v>
      </c>
      <c r="M118" s="343">
        <v>5470.4400000000005</v>
      </c>
      <c r="N118" s="343">
        <v>4131.6499999999996</v>
      </c>
      <c r="O118" s="343">
        <v>0</v>
      </c>
    </row>
    <row r="119" spans="1:15" ht="15.75" customHeight="1">
      <c r="A119" s="211">
        <f t="shared" si="13"/>
        <v>104</v>
      </c>
      <c r="B119" s="704" t="s">
        <v>1186</v>
      </c>
      <c r="C119" s="705" t="s">
        <v>1600</v>
      </c>
      <c r="D119" s="344" t="str">
        <f>CONCATENATE(B119," ",M_COA[[#This Row],[AccountName]])</f>
        <v>6495 Pest Control</v>
      </c>
      <c r="E119" s="386" t="s">
        <v>326</v>
      </c>
      <c r="F119" s="377">
        <f>1+COUNTIF(E$5:$F116,E119)+COUNTIF((E$5:$F116),E119=E119)</f>
        <v>7</v>
      </c>
      <c r="G119" s="356" t="str">
        <f t="shared" si="23"/>
        <v>40027</v>
      </c>
      <c r="H119" s="387">
        <v>8961</v>
      </c>
      <c r="I119" s="388" t="s">
        <v>1241</v>
      </c>
      <c r="J119" s="196">
        <f>IFERROR(GETPIVOTDATA("AMOUNT",PT_TB!$B$8, "ACCOUNT", D119), 0)</f>
        <v>19899.5</v>
      </c>
      <c r="K119" s="343">
        <v>6200.75</v>
      </c>
      <c r="L119" s="343">
        <v>4666.6400000000003</v>
      </c>
      <c r="M119" s="343">
        <v>4115.3999999999996</v>
      </c>
      <c r="N119" s="343">
        <v>3683.33</v>
      </c>
      <c r="O119" s="343">
        <v>0</v>
      </c>
    </row>
    <row r="120" spans="1:15" ht="15.75" customHeight="1">
      <c r="A120" s="211">
        <f t="shared" si="13"/>
        <v>105</v>
      </c>
      <c r="B120" s="702" t="s">
        <v>1187</v>
      </c>
      <c r="C120" s="703" t="s">
        <v>1598</v>
      </c>
      <c r="D120" s="344" t="str">
        <f>CONCATENATE(B120," ",M_COA[[#This Row],[AccountName]])</f>
        <v>6497 Garbage Removal</v>
      </c>
      <c r="E120" s="386" t="s">
        <v>326</v>
      </c>
      <c r="F120" s="377">
        <f>1+COUNTIF(E$5:$F117,E120)+COUNTIF((E$5:$F117),E120=E120)</f>
        <v>8</v>
      </c>
      <c r="G120" s="356" t="str">
        <f t="shared" si="23"/>
        <v>40028</v>
      </c>
      <c r="H120" s="387">
        <v>8961</v>
      </c>
      <c r="I120" s="388" t="s">
        <v>1241</v>
      </c>
      <c r="J120" s="196">
        <f>IFERROR(GETPIVOTDATA("AMOUNT",PT_TB!$B$8, "ACCOUNT", D120), 0)</f>
        <v>15290.11</v>
      </c>
      <c r="K120" s="343">
        <v>17087.789999999997</v>
      </c>
      <c r="L120" s="343">
        <v>15558.37</v>
      </c>
      <c r="M120" s="343">
        <v>15414.220000000001</v>
      </c>
      <c r="N120" s="343">
        <v>12193.58</v>
      </c>
      <c r="O120" s="343">
        <v>0</v>
      </c>
    </row>
    <row r="121" spans="1:15" ht="15.75" customHeight="1">
      <c r="A121" s="211">
        <f t="shared" si="13"/>
        <v>106</v>
      </c>
      <c r="B121" s="486" t="s">
        <v>1184</v>
      </c>
      <c r="C121" s="432" t="s">
        <v>1484</v>
      </c>
      <c r="D121" s="344" t="str">
        <f>CONCATENATE(B121," ",M_COA[[#This Row],[AccountName]])</f>
        <v>6480 Building insurance</v>
      </c>
      <c r="E121" s="386" t="s">
        <v>326</v>
      </c>
      <c r="F121" s="377">
        <f>1+COUNTIF(E$5:$F113,E121)+COUNTIF((E$5:$F113),E121=E121)</f>
        <v>4</v>
      </c>
      <c r="G121" s="356" t="str">
        <f t="shared" si="16"/>
        <v>40024</v>
      </c>
      <c r="H121" s="387">
        <v>8688</v>
      </c>
      <c r="I121" s="388" t="s">
        <v>638</v>
      </c>
      <c r="J121" s="196">
        <f>IFERROR(GETPIVOTDATA("AMOUNT",PT_TB!$B$8, "ACCOUNT", D121), 0)</f>
        <v>31717.71</v>
      </c>
      <c r="K121" s="343">
        <v>5559.3200000000006</v>
      </c>
      <c r="L121" s="343">
        <v>18827.400000000001</v>
      </c>
      <c r="M121" s="343">
        <v>29220.040000000005</v>
      </c>
      <c r="N121" s="343">
        <v>32928.699999999997</v>
      </c>
      <c r="O121" s="343">
        <v>0</v>
      </c>
    </row>
    <row r="122" spans="1:15" ht="15.75" customHeight="1">
      <c r="A122" s="211">
        <f t="shared" si="13"/>
        <v>107</v>
      </c>
      <c r="B122" s="196" t="s">
        <v>0</v>
      </c>
      <c r="C122" s="196" t="s">
        <v>0</v>
      </c>
      <c r="D122" s="385" t="s">
        <v>73</v>
      </c>
      <c r="E122" s="344" t="s">
        <v>0</v>
      </c>
      <c r="F122" s="377" t="s">
        <v>0</v>
      </c>
      <c r="G122" s="356" t="str">
        <f t="shared" si="16"/>
        <v xml:space="preserve">  </v>
      </c>
      <c r="H122" s="378" t="s">
        <v>514</v>
      </c>
      <c r="I122" s="226" t="s">
        <v>73</v>
      </c>
      <c r="J122" s="196">
        <f>IFERROR(GETPIVOTDATA("AMOUNT",PT_TB!$B$8, "ACCOUNT", D122), 0)</f>
        <v>0</v>
      </c>
      <c r="K122" s="343">
        <v>0</v>
      </c>
      <c r="L122" s="343">
        <v>0</v>
      </c>
      <c r="M122" s="343">
        <v>0</v>
      </c>
      <c r="N122" s="343">
        <v>0</v>
      </c>
      <c r="O122" s="343">
        <v>0</v>
      </c>
    </row>
    <row r="123" spans="1:15" ht="15.75" customHeight="1">
      <c r="A123" s="211" t="s">
        <v>0</v>
      </c>
      <c r="B123" s="708" t="s">
        <v>1248</v>
      </c>
      <c r="C123" s="698" t="s">
        <v>1205</v>
      </c>
      <c r="D123" s="344" t="str">
        <f>CONCATENATE(B123," ",M_COA[[#This Row],[AccountName]])</f>
        <v>6743 Vehicle lease</v>
      </c>
      <c r="E123" s="386" t="s">
        <v>322</v>
      </c>
      <c r="F123" s="377">
        <f>1+COUNTIF(E$5:$F122,E123)+COUNTIF((E$5:$F122),E123=E123)</f>
        <v>1</v>
      </c>
      <c r="G123" s="356" t="str">
        <f t="shared" si="16"/>
        <v>40031</v>
      </c>
      <c r="H123" s="387">
        <v>9281</v>
      </c>
      <c r="I123" s="388" t="s">
        <v>280</v>
      </c>
      <c r="J123" s="196">
        <f>IFERROR(GETPIVOTDATA("AMOUNT",PT_TB!$B$8, "ACCOUNT", D123), 0)</f>
        <v>12131.08</v>
      </c>
      <c r="K123" s="343">
        <v>14936.15</v>
      </c>
      <c r="L123" s="343">
        <v>17478.37</v>
      </c>
      <c r="M123" s="343">
        <v>15964.919999999998</v>
      </c>
      <c r="N123" s="343">
        <v>14790.75</v>
      </c>
      <c r="O123" s="343">
        <v>0</v>
      </c>
    </row>
    <row r="124" spans="1:15" ht="15.75" customHeight="1">
      <c r="A124" s="211">
        <v>108</v>
      </c>
      <c r="B124" s="696" t="s">
        <v>1206</v>
      </c>
      <c r="C124" s="697" t="s">
        <v>475</v>
      </c>
      <c r="D124" s="344" t="str">
        <f>CONCATENATE(B124," ",M_COA[[#This Row],[AccountName]])</f>
        <v>6741 Vehicle Expense</v>
      </c>
      <c r="E124" s="386" t="s">
        <v>322</v>
      </c>
      <c r="F124" s="377">
        <f>1+COUNTIF(E$5:$F123,E124)+COUNTIF((E$5:$F123),E124=E124)</f>
        <v>2</v>
      </c>
      <c r="G124" s="356" t="str">
        <f t="shared" si="16"/>
        <v>40032</v>
      </c>
      <c r="H124" s="387">
        <v>9224</v>
      </c>
      <c r="I124" s="388" t="s">
        <v>281</v>
      </c>
      <c r="J124" s="196">
        <f>IFERROR(GETPIVOTDATA("AMOUNT",PT_TB!$B$8, "ACCOUNT", D124), 0)</f>
        <v>13549.38</v>
      </c>
      <c r="K124" s="343">
        <v>12264.18</v>
      </c>
      <c r="L124" s="343">
        <v>12052.04</v>
      </c>
      <c r="M124" s="343">
        <v>12312.43</v>
      </c>
      <c r="N124" s="343">
        <v>10997.500000000002</v>
      </c>
      <c r="O124" s="343">
        <v>0</v>
      </c>
    </row>
    <row r="125" spans="1:15" ht="15.75" customHeight="1">
      <c r="A125" s="211">
        <f t="shared" si="13"/>
        <v>109</v>
      </c>
      <c r="B125" s="695" t="s">
        <v>1249</v>
      </c>
      <c r="C125" s="694" t="s">
        <v>476</v>
      </c>
      <c r="D125" s="344" t="str">
        <f>CONCATENATE(B125," ",M_COA[[#This Row],[AccountName]])</f>
        <v>6744 Vehicle Registration</v>
      </c>
      <c r="E125" s="386" t="s">
        <v>322</v>
      </c>
      <c r="F125" s="377">
        <f>1+COUNTIF(E$5:$F124,E125)+COUNTIF((E$5:$F124),E125=E125)</f>
        <v>3</v>
      </c>
      <c r="G125" s="356" t="str">
        <f t="shared" si="16"/>
        <v>40033</v>
      </c>
      <c r="H125" s="387">
        <v>9281</v>
      </c>
      <c r="I125" s="388" t="s">
        <v>280</v>
      </c>
      <c r="J125" s="196">
        <f>IFERROR(GETPIVOTDATA("AMOUNT",PT_TB!$B$8, "ACCOUNT", D125), 0)</f>
        <v>0</v>
      </c>
      <c r="K125" s="343">
        <v>0</v>
      </c>
      <c r="L125" s="343">
        <v>0</v>
      </c>
      <c r="M125" s="343">
        <v>0</v>
      </c>
      <c r="N125" s="343">
        <v>0</v>
      </c>
      <c r="O125" s="343">
        <v>0</v>
      </c>
    </row>
    <row r="126" spans="1:15" ht="15.75" customHeight="1">
      <c r="A126" s="211">
        <f t="shared" si="13"/>
        <v>110</v>
      </c>
      <c r="B126" s="699" t="s">
        <v>1207</v>
      </c>
      <c r="C126" s="693" t="s">
        <v>262</v>
      </c>
      <c r="D126" s="344" t="str">
        <f>CONCATENATE(B126," ",M_COA[[#This Row],[AccountName]])</f>
        <v>6742 Vehicle repairs</v>
      </c>
      <c r="E126" s="386" t="s">
        <v>322</v>
      </c>
      <c r="F126" s="377">
        <f>1+COUNTIF(E$5:$F125,E126)+COUNTIF((E$5:$F125),E126=E126)</f>
        <v>4</v>
      </c>
      <c r="G126" s="356" t="str">
        <f t="shared" si="16"/>
        <v>40034</v>
      </c>
      <c r="H126" s="387">
        <v>9281</v>
      </c>
      <c r="I126" s="388" t="s">
        <v>280</v>
      </c>
      <c r="J126" s="196">
        <f>IFERROR(GETPIVOTDATA("AMOUNT",PT_TB!$B$8, "ACCOUNT", D126), 0)</f>
        <v>6931.72</v>
      </c>
      <c r="K126" s="343">
        <v>6787.26</v>
      </c>
      <c r="L126" s="343">
        <v>12652.45</v>
      </c>
      <c r="M126" s="343">
        <v>7804.43</v>
      </c>
      <c r="N126" s="343">
        <v>10547.189999999999</v>
      </c>
      <c r="O126" s="343">
        <v>0</v>
      </c>
    </row>
    <row r="127" spans="1:15" ht="15.75" customHeight="1">
      <c r="A127" s="211">
        <f t="shared" si="13"/>
        <v>111</v>
      </c>
      <c r="B127" s="708" t="s">
        <v>1208</v>
      </c>
      <c r="C127" s="698" t="s">
        <v>637</v>
      </c>
      <c r="D127" s="344" t="str">
        <f>CONCATENATE(B127," ",M_COA[[#This Row],[AccountName]])</f>
        <v xml:space="preserve">6745 Vehicle Insurance </v>
      </c>
      <c r="E127" s="386" t="s">
        <v>322</v>
      </c>
      <c r="F127" s="377">
        <f>1+COUNTIF(E$5:$F126,E127)+COUNTIF((E$5:$F126),E127=E127)</f>
        <v>5</v>
      </c>
      <c r="G127" s="356" t="str">
        <f t="shared" si="16"/>
        <v>40035</v>
      </c>
      <c r="H127" s="387">
        <v>8690</v>
      </c>
      <c r="I127" s="388" t="s">
        <v>261</v>
      </c>
      <c r="J127" s="196">
        <f>IFERROR(GETPIVOTDATA("AMOUNT",PT_TB!$B$8, "ACCOUNT", D127), 0)</f>
        <v>7527.12</v>
      </c>
      <c r="K127" s="343">
        <v>11893.97</v>
      </c>
      <c r="L127" s="343">
        <v>11152.199999999999</v>
      </c>
      <c r="M127" s="343">
        <v>12127.54</v>
      </c>
      <c r="N127" s="343">
        <v>8043.02</v>
      </c>
      <c r="O127" s="343">
        <v>0</v>
      </c>
    </row>
    <row r="128" spans="1:15" ht="15.75" customHeight="1">
      <c r="A128" s="211">
        <f t="shared" si="13"/>
        <v>112</v>
      </c>
      <c r="B128" s="196" t="s">
        <v>0</v>
      </c>
      <c r="C128" s="196" t="s">
        <v>0</v>
      </c>
      <c r="D128" s="385" t="s">
        <v>247</v>
      </c>
      <c r="E128" s="344" t="s">
        <v>0</v>
      </c>
      <c r="F128" s="377" t="s">
        <v>0</v>
      </c>
      <c r="G128" s="356" t="str">
        <f t="shared" si="16"/>
        <v xml:space="preserve">  </v>
      </c>
      <c r="H128" s="378" t="s">
        <v>515</v>
      </c>
      <c r="I128" s="226" t="s">
        <v>247</v>
      </c>
      <c r="J128" s="196">
        <f>IFERROR(GETPIVOTDATA("AMOUNT",PT_TB!$B$8, "ACCOUNT", D128), 0)</f>
        <v>0</v>
      </c>
      <c r="K128" s="343">
        <v>0</v>
      </c>
      <c r="L128" s="343">
        <v>0</v>
      </c>
      <c r="M128" s="343">
        <v>0</v>
      </c>
      <c r="N128" s="343">
        <v>0</v>
      </c>
      <c r="O128" s="343">
        <v>0</v>
      </c>
    </row>
    <row r="129" spans="1:15" ht="15.75" customHeight="1">
      <c r="A129" s="211" t="s">
        <v>0</v>
      </c>
      <c r="B129" s="480" t="s">
        <v>1168</v>
      </c>
      <c r="C129" s="229" t="s">
        <v>477</v>
      </c>
      <c r="D129" s="344" t="str">
        <f>CONCATENATE(B129," ",M_COA[[#This Row],[AccountName]])</f>
        <v>6210 Bank Service Charges</v>
      </c>
      <c r="E129" s="386" t="s">
        <v>321</v>
      </c>
      <c r="F129" s="377">
        <f>1+COUNTIF(E$5:$F128,E129)+COUNTIF((E$5:$F128),E129=E129)</f>
        <v>1</v>
      </c>
      <c r="G129" s="356" t="str">
        <f t="shared" si="16"/>
        <v>40041</v>
      </c>
      <c r="H129" s="387">
        <v>8715</v>
      </c>
      <c r="I129" s="388" t="s">
        <v>145</v>
      </c>
      <c r="J129" s="196">
        <f>IFERROR(GETPIVOTDATA("AMOUNT",PT_TB!$B$8, "ACCOUNT", D129), 0)</f>
        <v>8786.6</v>
      </c>
      <c r="K129" s="343">
        <v>7265.0899999999992</v>
      </c>
      <c r="L129" s="343">
        <v>19086.859999999997</v>
      </c>
      <c r="M129" s="343">
        <v>9162.16</v>
      </c>
      <c r="N129" s="343">
        <v>9048.93</v>
      </c>
      <c r="O129" s="343">
        <v>0</v>
      </c>
    </row>
    <row r="130" spans="1:15" ht="15.75" customHeight="1">
      <c r="A130" s="211">
        <v>113</v>
      </c>
      <c r="B130" s="486" t="s">
        <v>1236</v>
      </c>
      <c r="C130" s="432" t="s">
        <v>478</v>
      </c>
      <c r="D130" s="344" t="str">
        <f>CONCATENATE(B130," ",M_COA[[#This Row],[AccountName]])</f>
        <v>6220 Brokers Margin Interest</v>
      </c>
      <c r="E130" s="386" t="s">
        <v>321</v>
      </c>
      <c r="F130" s="377">
        <f>1+COUNTIF(E$5:$F129,E130)+COUNTIF((E$5:$F129),E130=E130)</f>
        <v>2</v>
      </c>
      <c r="G130" s="356" t="str">
        <f t="shared" si="16"/>
        <v>40042</v>
      </c>
      <c r="H130" s="387">
        <v>8711</v>
      </c>
      <c r="I130" s="388" t="s">
        <v>282</v>
      </c>
      <c r="J130" s="196">
        <f>IFERROR(GETPIVOTDATA("AMOUNT",PT_TB!$B$8, "ACCOUNT", D130), 0)</f>
        <v>0</v>
      </c>
      <c r="K130" s="343">
        <v>0</v>
      </c>
      <c r="L130" s="343">
        <v>0</v>
      </c>
      <c r="M130" s="343">
        <v>0</v>
      </c>
      <c r="N130" s="343">
        <v>0</v>
      </c>
      <c r="O130" s="343">
        <v>0</v>
      </c>
    </row>
    <row r="131" spans="1:15" ht="15.75" customHeight="1">
      <c r="A131" s="211">
        <f t="shared" si="13"/>
        <v>114</v>
      </c>
      <c r="B131" s="486" t="s">
        <v>1170</v>
      </c>
      <c r="C131" s="362" t="s">
        <v>1171</v>
      </c>
      <c r="D131" s="344" t="str">
        <f>CONCATENATE(B131," ",M_COA[[#This Row],[AccountName]])</f>
        <v>6240  Interac charges</v>
      </c>
      <c r="E131" s="386" t="s">
        <v>321</v>
      </c>
      <c r="F131" s="377">
        <f>1+COUNTIF(E$5:$F130,E131)+COUNTIF((E$5:$F130),E131=E131)</f>
        <v>3</v>
      </c>
      <c r="G131" s="356" t="str">
        <f t="shared" si="16"/>
        <v>40043</v>
      </c>
      <c r="H131" s="387">
        <v>8716</v>
      </c>
      <c r="I131" s="362" t="s">
        <v>1171</v>
      </c>
      <c r="J131" s="196">
        <f>IFERROR(GETPIVOTDATA("AMOUNT",PT_TB!$B$8, "ACCOUNT", D131), 0)</f>
        <v>33577.35</v>
      </c>
      <c r="K131" s="343">
        <v>30068.85</v>
      </c>
      <c r="L131" s="343">
        <v>17462.210000000003</v>
      </c>
      <c r="M131" s="343">
        <v>23291.75</v>
      </c>
      <c r="N131" s="343">
        <v>17722.310000000001</v>
      </c>
      <c r="O131" s="343">
        <v>0</v>
      </c>
    </row>
    <row r="132" spans="1:15" ht="15.75" customHeight="1">
      <c r="A132" s="211">
        <f t="shared" si="13"/>
        <v>115</v>
      </c>
      <c r="B132" s="480" t="s">
        <v>1169</v>
      </c>
      <c r="C132" s="229" t="s">
        <v>341</v>
      </c>
      <c r="D132" s="344" t="str">
        <f>CONCATENATE(B132," ",M_COA[[#This Row],[AccountName]])</f>
        <v>6230 Interest Long Term Debt</v>
      </c>
      <c r="E132" s="386" t="s">
        <v>321</v>
      </c>
      <c r="F132" s="377">
        <f>1+COUNTIF(E$5:$F131,E132)+COUNTIF((E$5:$F131),E132=E132)</f>
        <v>4</v>
      </c>
      <c r="G132" s="356" t="str">
        <f t="shared" si="16"/>
        <v>40044</v>
      </c>
      <c r="H132" s="387">
        <v>8714</v>
      </c>
      <c r="I132" s="390" t="s">
        <v>341</v>
      </c>
      <c r="J132" s="196">
        <f>IFERROR(GETPIVOTDATA("AMOUNT",PT_TB!$B$8, "ACCOUNT", D132), 0)</f>
        <v>25894.2</v>
      </c>
      <c r="K132" s="343">
        <v>41955.94</v>
      </c>
      <c r="L132" s="343">
        <v>13255.12</v>
      </c>
      <c r="M132" s="343">
        <v>21325.11</v>
      </c>
      <c r="N132" s="343">
        <v>95.8</v>
      </c>
      <c r="O132" s="343">
        <v>0</v>
      </c>
    </row>
    <row r="133" spans="1:15" ht="15.75" customHeight="1">
      <c r="A133" s="211">
        <f t="shared" si="13"/>
        <v>116</v>
      </c>
      <c r="B133" s="196" t="s">
        <v>0</v>
      </c>
      <c r="C133" s="196" t="s">
        <v>0</v>
      </c>
      <c r="D133" s="385" t="s">
        <v>324</v>
      </c>
      <c r="E133" s="344" t="s">
        <v>0</v>
      </c>
      <c r="F133" s="377" t="s">
        <v>0</v>
      </c>
      <c r="G133" s="356" t="str">
        <f t="shared" si="16"/>
        <v xml:space="preserve">  </v>
      </c>
      <c r="H133" s="378" t="s">
        <v>516</v>
      </c>
      <c r="I133" s="226" t="s">
        <v>324</v>
      </c>
      <c r="J133" s="196">
        <f>IFERROR(GETPIVOTDATA("AMOUNT",PT_TB!$B$8, "ACCOUNT", D133), 0)</f>
        <v>0</v>
      </c>
      <c r="K133" s="343">
        <v>0</v>
      </c>
      <c r="L133" s="343">
        <v>0</v>
      </c>
      <c r="M133" s="343">
        <v>0</v>
      </c>
      <c r="N133" s="343">
        <v>0</v>
      </c>
      <c r="O133" s="343">
        <v>0</v>
      </c>
    </row>
    <row r="134" spans="1:15" ht="15.75" customHeight="1">
      <c r="A134" s="211" t="s">
        <v>0</v>
      </c>
      <c r="B134" s="229" t="s">
        <v>479</v>
      </c>
      <c r="C134" s="229" t="s">
        <v>480</v>
      </c>
      <c r="D134" s="344" t="str">
        <f>CONCATENATE(B134," ",M_COA[[#This Row],[AccountName]])</f>
        <v>5690 Insurance Expense: Professional Liability</v>
      </c>
      <c r="E134" s="386" t="s">
        <v>325</v>
      </c>
      <c r="F134" s="377">
        <f>1+COUNTIF(E$5:$F133,E134)+COUNTIF((E$5:$F133),E134=E134)</f>
        <v>1</v>
      </c>
      <c r="G134" s="356" t="str">
        <f t="shared" si="16"/>
        <v>40051</v>
      </c>
      <c r="H134" s="387">
        <v>8689</v>
      </c>
      <c r="I134" s="388" t="s">
        <v>108</v>
      </c>
      <c r="J134" s="196">
        <f>IFERROR(GETPIVOTDATA("AMOUNT",PT_TB!$B$8, "ACCOUNT", D134), 0)</f>
        <v>0</v>
      </c>
      <c r="K134" s="343">
        <v>0</v>
      </c>
      <c r="L134" s="343">
        <v>0</v>
      </c>
      <c r="M134" s="343">
        <v>0</v>
      </c>
      <c r="N134" s="343">
        <v>0</v>
      </c>
      <c r="O134" s="343">
        <v>0</v>
      </c>
    </row>
    <row r="135" spans="1:15" ht="15.75" customHeight="1">
      <c r="A135" s="211">
        <v>117</v>
      </c>
      <c r="B135" s="229" t="s">
        <v>481</v>
      </c>
      <c r="C135" s="229" t="s">
        <v>373</v>
      </c>
      <c r="D135" s="344" t="str">
        <f>CONCATENATE(B135," ",M_COA[[#This Row],[AccountName]])</f>
        <v>5701 Office Supplies</v>
      </c>
      <c r="E135" s="386" t="s">
        <v>325</v>
      </c>
      <c r="F135" s="377">
        <f>1+COUNTIF(E$5:$F134,E135)+COUNTIF((E$5:$F134),E135=E135)</f>
        <v>2</v>
      </c>
      <c r="G135" s="356" t="str">
        <f t="shared" si="16"/>
        <v>40052</v>
      </c>
      <c r="H135" s="387">
        <v>8811</v>
      </c>
      <c r="I135" s="388" t="s">
        <v>146</v>
      </c>
      <c r="J135" s="196">
        <f>IFERROR(GETPIVOTDATA("AMOUNT",PT_TB!$B$8, "ACCOUNT", D135), 0)</f>
        <v>0</v>
      </c>
      <c r="K135" s="343">
        <v>0</v>
      </c>
      <c r="L135" s="343">
        <v>0</v>
      </c>
      <c r="M135" s="343">
        <v>0</v>
      </c>
      <c r="N135" s="343">
        <v>0</v>
      </c>
      <c r="O135" s="343">
        <v>0</v>
      </c>
    </row>
    <row r="136" spans="1:15" ht="15.75" customHeight="1">
      <c r="A136" s="211">
        <f t="shared" ref="A136:A167" si="24">A135+1</f>
        <v>118</v>
      </c>
      <c r="B136" s="486" t="s">
        <v>1238</v>
      </c>
      <c r="C136" s="432" t="s">
        <v>106</v>
      </c>
      <c r="D136" s="344" t="str">
        <f>CONCATENATE(B136," ",M_COA[[#This Row],[AccountName]])</f>
        <v>6512 Telephone</v>
      </c>
      <c r="E136" s="386" t="s">
        <v>325</v>
      </c>
      <c r="F136" s="377">
        <f>1+COUNTIF(E$5:$F135,E136)+COUNTIF((E$5:$F135),E136=E136)</f>
        <v>3</v>
      </c>
      <c r="G136" s="356" t="str">
        <f t="shared" si="16"/>
        <v>40053</v>
      </c>
      <c r="H136" s="387">
        <v>9225</v>
      </c>
      <c r="I136" s="388" t="s">
        <v>106</v>
      </c>
      <c r="J136" s="196">
        <f>IFERROR(GETPIVOTDATA("AMOUNT",PT_TB!$B$8, "ACCOUNT", D136), 0)</f>
        <v>52201.16</v>
      </c>
      <c r="K136" s="343">
        <v>39975.96</v>
      </c>
      <c r="L136" s="343">
        <v>35177.61</v>
      </c>
      <c r="M136" s="343">
        <v>25644.309999999998</v>
      </c>
      <c r="N136" s="343">
        <v>22448.03</v>
      </c>
      <c r="O136" s="343">
        <v>0</v>
      </c>
    </row>
    <row r="137" spans="1:15" ht="15.75" customHeight="1">
      <c r="A137" s="211">
        <f t="shared" si="24"/>
        <v>119</v>
      </c>
      <c r="B137" s="486" t="s">
        <v>1239</v>
      </c>
      <c r="C137" s="432" t="s">
        <v>43</v>
      </c>
      <c r="D137" s="344" t="str">
        <f>CONCATENATE(B137," ",M_COA[[#This Row],[AccountName]])</f>
        <v>6514 Internet</v>
      </c>
      <c r="E137" s="386" t="s">
        <v>325</v>
      </c>
      <c r="F137" s="377">
        <f>1+COUNTIF(E$5:$F136,E137)+COUNTIF((E$5:$F136),E137=E137)</f>
        <v>4</v>
      </c>
      <c r="G137" s="356" t="str">
        <f t="shared" si="16"/>
        <v>40054</v>
      </c>
      <c r="H137" s="387">
        <v>9152</v>
      </c>
      <c r="I137" s="388" t="s">
        <v>43</v>
      </c>
      <c r="J137" s="196">
        <f>IFERROR(GETPIVOTDATA("AMOUNT",PT_TB!$B$8, "ACCOUNT", D137), 0)</f>
        <v>0</v>
      </c>
      <c r="K137" s="343">
        <v>0</v>
      </c>
      <c r="L137" s="343">
        <v>0</v>
      </c>
      <c r="M137" s="343">
        <v>0</v>
      </c>
      <c r="N137" s="343">
        <v>0</v>
      </c>
      <c r="O137" s="343">
        <v>0</v>
      </c>
    </row>
    <row r="138" spans="1:15" ht="15.75" customHeight="1">
      <c r="A138" s="211">
        <f t="shared" si="24"/>
        <v>120</v>
      </c>
      <c r="B138" s="485" t="s">
        <v>482</v>
      </c>
      <c r="C138" s="485" t="s">
        <v>366</v>
      </c>
      <c r="D138" s="344" t="str">
        <f>CONCATENATE(B138," ",M_COA[[#This Row],[AccountName]])</f>
        <v>5705 Bad debt expense</v>
      </c>
      <c r="E138" s="386" t="s">
        <v>325</v>
      </c>
      <c r="F138" s="377">
        <f>1+COUNTIF(E$5:$F137,E138)+COUNTIF((E$5:$F137),E138=E138)</f>
        <v>5</v>
      </c>
      <c r="G138" s="356" t="str">
        <f t="shared" si="16"/>
        <v>40055</v>
      </c>
      <c r="H138" s="387">
        <v>8590</v>
      </c>
      <c r="I138" s="232" t="s">
        <v>366</v>
      </c>
      <c r="J138" s="196">
        <f>IFERROR(GETPIVOTDATA("AMOUNT",PT_TB!$B$8, "ACCOUNT", D138), 0)</f>
        <v>0</v>
      </c>
      <c r="K138" s="343">
        <v>0</v>
      </c>
      <c r="L138" s="343">
        <v>0</v>
      </c>
      <c r="M138" s="343">
        <v>0</v>
      </c>
      <c r="N138" s="343">
        <v>0</v>
      </c>
      <c r="O138" s="343">
        <v>0</v>
      </c>
    </row>
    <row r="139" spans="1:15" ht="15.75" customHeight="1">
      <c r="A139" s="211">
        <f t="shared" si="24"/>
        <v>121</v>
      </c>
      <c r="B139" s="480" t="s">
        <v>1188</v>
      </c>
      <c r="C139" s="229" t="s">
        <v>437</v>
      </c>
      <c r="D139" s="344" t="str">
        <f>CONCATENATE(B139," ",M_COA[[#This Row],[AccountName]])</f>
        <v>6510 Professional fees</v>
      </c>
      <c r="E139" s="386" t="s">
        <v>325</v>
      </c>
      <c r="F139" s="377">
        <f>1+COUNTIF(E$5:$F138,E139)+COUNTIF((E$5:$F138),E139=E139)</f>
        <v>6</v>
      </c>
      <c r="G139" s="356" t="str">
        <f t="shared" si="16"/>
        <v>40056</v>
      </c>
      <c r="H139" s="387">
        <v>8862</v>
      </c>
      <c r="I139" s="391" t="s">
        <v>346</v>
      </c>
      <c r="J139" s="196">
        <f>IFERROR(GETPIVOTDATA("AMOUNT",PT_TB!$B$8, "ACCOUNT", D139), 0)</f>
        <v>30104.19</v>
      </c>
      <c r="K139" s="343">
        <v>18896.25</v>
      </c>
      <c r="L139" s="343">
        <v>38561.35</v>
      </c>
      <c r="M139" s="343">
        <v>20786</v>
      </c>
      <c r="N139" s="343">
        <v>18846</v>
      </c>
      <c r="O139" s="343">
        <v>0</v>
      </c>
    </row>
    <row r="140" spans="1:15" ht="15.75" customHeight="1">
      <c r="A140" s="211">
        <f t="shared" si="24"/>
        <v>122</v>
      </c>
      <c r="B140" s="196" t="s">
        <v>0</v>
      </c>
      <c r="C140" s="196" t="s">
        <v>0</v>
      </c>
      <c r="D140" s="385" t="s">
        <v>1245</v>
      </c>
      <c r="E140" s="344" t="s">
        <v>0</v>
      </c>
      <c r="F140" s="377" t="s">
        <v>0</v>
      </c>
      <c r="G140" s="356" t="str">
        <f t="shared" ref="G140:G149" si="25">CONCATENATE(E140,F140)</f>
        <v xml:space="preserve">  </v>
      </c>
      <c r="H140" s="706" t="s">
        <v>517</v>
      </c>
      <c r="I140" s="226" t="s">
        <v>1245</v>
      </c>
      <c r="J140" s="196">
        <f>IFERROR(GETPIVOTDATA("AMOUNT",PT_TB!$B$8, "ACCOUNT", D140), 0)</f>
        <v>0</v>
      </c>
      <c r="K140" s="343">
        <v>0</v>
      </c>
      <c r="L140" s="343">
        <v>0</v>
      </c>
      <c r="M140" s="343">
        <v>0</v>
      </c>
      <c r="N140" s="343">
        <v>0</v>
      </c>
      <c r="O140" s="343">
        <v>0</v>
      </c>
    </row>
    <row r="141" spans="1:15" ht="15.75" customHeight="1">
      <c r="A141" s="211" t="s">
        <v>0</v>
      </c>
      <c r="B141" s="362" t="s">
        <v>1189</v>
      </c>
      <c r="C141" s="362" t="s">
        <v>1190</v>
      </c>
      <c r="D141" s="344" t="str">
        <f>CONCATENATE(B141," ",M_COA[[#This Row],[AccountName]])</f>
        <v>6625  Uniforms</v>
      </c>
      <c r="E141" s="386" t="s">
        <v>323</v>
      </c>
      <c r="F141" s="377">
        <f>1+COUNTIF(E$5:$F139,E141)+COUNTIF((E$5:$F139),E141=E141)</f>
        <v>1</v>
      </c>
      <c r="G141" s="356" t="str">
        <f t="shared" ref="G141" si="26">CONCATENATE(E141,F141)</f>
        <v>40061</v>
      </c>
      <c r="H141" s="707">
        <v>9133</v>
      </c>
      <c r="I141" s="362" t="s">
        <v>1190</v>
      </c>
      <c r="J141" s="196">
        <f>IFERROR(GETPIVOTDATA("AMOUNT",PT_TB!$B$8, "ACCOUNT", D141), 0)</f>
        <v>5863.99</v>
      </c>
      <c r="K141" s="343">
        <v>4975.9499999999989</v>
      </c>
      <c r="L141" s="343">
        <v>7937.9900000000016</v>
      </c>
      <c r="M141" s="343">
        <v>11363.22</v>
      </c>
      <c r="N141" s="343">
        <v>8070.2400000000007</v>
      </c>
      <c r="O141" s="343">
        <v>0</v>
      </c>
    </row>
    <row r="142" spans="1:15" ht="15.75" customHeight="1">
      <c r="A142" s="211">
        <v>123</v>
      </c>
      <c r="B142" s="704" t="s">
        <v>1191</v>
      </c>
      <c r="C142" s="705" t="s">
        <v>1192</v>
      </c>
      <c r="D142" s="344" t="str">
        <f>CONCATENATE(B142," ",M_COA[[#This Row],[AccountName]])</f>
        <v>6630  Kitchen Supplies</v>
      </c>
      <c r="E142" s="386" t="s">
        <v>323</v>
      </c>
      <c r="F142" s="377">
        <f>1+COUNTIF(E$5:$F140,E142)+COUNTIF((E$5:$F140),E142=E142)</f>
        <v>1</v>
      </c>
      <c r="G142" s="356" t="str">
        <f t="shared" si="25"/>
        <v>40061</v>
      </c>
      <c r="H142" s="387">
        <v>9130</v>
      </c>
      <c r="I142" s="705" t="s">
        <v>1192</v>
      </c>
      <c r="J142" s="196">
        <f>IFERROR(GETPIVOTDATA("AMOUNT",PT_TB!$B$8, "ACCOUNT", D142), 0)</f>
        <v>5697.21</v>
      </c>
      <c r="K142" s="343">
        <v>5770.86</v>
      </c>
      <c r="L142" s="343">
        <v>5489.37</v>
      </c>
      <c r="M142" s="343">
        <v>6835.9800000000005</v>
      </c>
      <c r="N142" s="343">
        <v>7111.9699999999993</v>
      </c>
      <c r="O142" s="343">
        <v>0</v>
      </c>
    </row>
    <row r="143" spans="1:15" ht="15.75" customHeight="1">
      <c r="A143" s="211">
        <f t="shared" si="24"/>
        <v>124</v>
      </c>
      <c r="B143" s="702" t="s">
        <v>1193</v>
      </c>
      <c r="C143" s="703" t="s">
        <v>1194</v>
      </c>
      <c r="D143" s="344" t="str">
        <f>CONCATENATE(B143," ",M_COA[[#This Row],[AccountName]])</f>
        <v>6640  Computer/Cash Register</v>
      </c>
      <c r="E143" s="386" t="s">
        <v>323</v>
      </c>
      <c r="F143" s="377">
        <f>1+COUNTIF(E$5:$F142,E143)+COUNTIF((E$5:$F142),E143=E143)</f>
        <v>3</v>
      </c>
      <c r="G143" s="356" t="str">
        <f t="shared" si="25"/>
        <v>40063</v>
      </c>
      <c r="H143" s="112" t="s">
        <v>579</v>
      </c>
      <c r="I143" s="388" t="s">
        <v>1372</v>
      </c>
      <c r="J143" s="196">
        <f>IFERROR(GETPIVOTDATA("AMOUNT",PT_TB!$B$8, "ACCOUNT", D143), 0)</f>
        <v>42390.98</v>
      </c>
      <c r="K143" s="343">
        <v>40115.360000000001</v>
      </c>
      <c r="L143" s="343">
        <v>25631.930000000004</v>
      </c>
      <c r="M143" s="343">
        <v>8598.3799999999992</v>
      </c>
      <c r="N143" s="343">
        <v>4994.9999999999991</v>
      </c>
      <c r="O143" s="343">
        <v>0</v>
      </c>
    </row>
    <row r="144" spans="1:15" ht="15.75" customHeight="1">
      <c r="A144" s="211">
        <f t="shared" si="24"/>
        <v>125</v>
      </c>
      <c r="B144" s="704" t="s">
        <v>1195</v>
      </c>
      <c r="C144" s="705" t="s">
        <v>1196</v>
      </c>
      <c r="D144" s="344" t="str">
        <f>CONCATENATE(B144," ",M_COA[[#This Row],[AccountName]])</f>
        <v>6650  Music System</v>
      </c>
      <c r="E144" s="386" t="s">
        <v>323</v>
      </c>
      <c r="F144" s="377">
        <f>1+COUNTIF(E$5:$F143,E144)+COUNTIF((E$5:$F143),E144=E144)</f>
        <v>4</v>
      </c>
      <c r="G144" s="356" t="str">
        <f t="shared" si="25"/>
        <v>40064</v>
      </c>
      <c r="H144" s="112" t="s">
        <v>579</v>
      </c>
      <c r="I144" s="388" t="s">
        <v>1372</v>
      </c>
      <c r="J144" s="196">
        <f>IFERROR(GETPIVOTDATA("AMOUNT",PT_TB!$B$8, "ACCOUNT", D144), 0)</f>
        <v>5116.1899999999996</v>
      </c>
      <c r="K144" s="343">
        <v>3925.4100000000003</v>
      </c>
      <c r="L144" s="343">
        <v>4895.09</v>
      </c>
      <c r="M144" s="343">
        <v>2070.8100000000004</v>
      </c>
      <c r="N144" s="343">
        <v>1951.2299999999998</v>
      </c>
      <c r="O144" s="343">
        <v>0</v>
      </c>
    </row>
    <row r="145" spans="1:15" ht="15.75" customHeight="1">
      <c r="A145" s="211">
        <f t="shared" si="24"/>
        <v>126</v>
      </c>
      <c r="B145" s="702" t="s">
        <v>1197</v>
      </c>
      <c r="C145" s="703" t="s">
        <v>1198</v>
      </c>
      <c r="D145" s="344" t="str">
        <f>CONCATENATE(B145," ",M_COA[[#This Row],[AccountName]])</f>
        <v>6660  Bathroom supplies</v>
      </c>
      <c r="E145" s="386" t="s">
        <v>323</v>
      </c>
      <c r="F145" s="377">
        <f>1+COUNTIF(E$5:$F144,E145)+COUNTIF((E$5:$F144),E145=E145)</f>
        <v>5</v>
      </c>
      <c r="G145" s="356" t="str">
        <f t="shared" si="25"/>
        <v>40065</v>
      </c>
      <c r="H145" s="112" t="s">
        <v>579</v>
      </c>
      <c r="I145" s="388" t="s">
        <v>1372</v>
      </c>
      <c r="J145" s="196">
        <f>IFERROR(GETPIVOTDATA("AMOUNT",PT_TB!$B$8, "ACCOUNT", D145), 0)</f>
        <v>14278.39</v>
      </c>
      <c r="K145" s="343">
        <v>14840.570000000002</v>
      </c>
      <c r="L145" s="343">
        <v>12588</v>
      </c>
      <c r="M145" s="343">
        <v>9398.7999999999993</v>
      </c>
      <c r="N145" s="343">
        <v>10330.950000000001</v>
      </c>
      <c r="O145" s="343">
        <v>0</v>
      </c>
    </row>
    <row r="146" spans="1:15" ht="15.75" customHeight="1">
      <c r="A146" s="211">
        <f t="shared" si="24"/>
        <v>127</v>
      </c>
      <c r="B146" s="704" t="s">
        <v>1199</v>
      </c>
      <c r="C146" s="705" t="s">
        <v>1200</v>
      </c>
      <c r="D146" s="344" t="str">
        <f>CONCATENATE(B146," ",M_COA[[#This Row],[AccountName]])</f>
        <v>6670  Miscellaneous supplies (L</v>
      </c>
      <c r="E146" s="386" t="s">
        <v>323</v>
      </c>
      <c r="F146" s="377">
        <f>1+COUNTIF(E$5:$F145,E146)+COUNTIF((E$5:$F145),E146=E146)</f>
        <v>6</v>
      </c>
      <c r="G146" s="356" t="str">
        <f t="shared" si="25"/>
        <v>40066</v>
      </c>
      <c r="H146" s="112" t="s">
        <v>579</v>
      </c>
      <c r="I146" s="388" t="s">
        <v>1372</v>
      </c>
      <c r="J146" s="196">
        <f>IFERROR(GETPIVOTDATA("AMOUNT",PT_TB!$B$8, "ACCOUNT", D146), 0)</f>
        <v>14476.64</v>
      </c>
      <c r="K146" s="343">
        <v>8363.8500000000022</v>
      </c>
      <c r="L146" s="343">
        <v>12126.17</v>
      </c>
      <c r="M146" s="343">
        <v>5508.1</v>
      </c>
      <c r="N146" s="343">
        <v>4812.7999999999993</v>
      </c>
      <c r="O146" s="343">
        <v>0</v>
      </c>
    </row>
    <row r="147" spans="1:15" ht="15.75" customHeight="1">
      <c r="A147" s="211">
        <f t="shared" si="24"/>
        <v>128</v>
      </c>
      <c r="B147" s="702" t="s">
        <v>1201</v>
      </c>
      <c r="C147" s="703" t="s">
        <v>1202</v>
      </c>
      <c r="D147" s="344" t="str">
        <f>CONCATENATE(B147," ",M_COA[[#This Row],[AccountName]])</f>
        <v>6680  Cleaning supplies</v>
      </c>
      <c r="E147" s="386" t="s">
        <v>323</v>
      </c>
      <c r="F147" s="377">
        <f>1+COUNTIF(E$5:$F146,E147)+COUNTIF((E$5:$F146),E147=E147)</f>
        <v>7</v>
      </c>
      <c r="G147" s="356" t="str">
        <f t="shared" si="25"/>
        <v>40067</v>
      </c>
      <c r="H147" s="112" t="s">
        <v>579</v>
      </c>
      <c r="I147" s="388" t="s">
        <v>1372</v>
      </c>
      <c r="J147" s="196">
        <f>IFERROR(GETPIVOTDATA("AMOUNT",PT_TB!$B$8, "ACCOUNT", D147), 0)</f>
        <v>14833.25</v>
      </c>
      <c r="K147" s="343">
        <v>16077.249999999998</v>
      </c>
      <c r="L147" s="343">
        <v>13951.669999999998</v>
      </c>
      <c r="M147" s="343">
        <v>13580.39</v>
      </c>
      <c r="N147" s="343">
        <v>7478.0099999999993</v>
      </c>
      <c r="O147" s="343">
        <v>0</v>
      </c>
    </row>
    <row r="148" spans="1:15" ht="15.75" customHeight="1">
      <c r="A148" s="211">
        <f t="shared" si="24"/>
        <v>129</v>
      </c>
      <c r="B148" s="704" t="s">
        <v>1203</v>
      </c>
      <c r="C148" s="705" t="s">
        <v>1485</v>
      </c>
      <c r="D148" s="344" t="str">
        <f>CONCATENATE(B148," ",M_COA[[#This Row],[AccountName]])</f>
        <v>6690  Pens, Stationery etc.</v>
      </c>
      <c r="E148" s="386" t="s">
        <v>323</v>
      </c>
      <c r="F148" s="377">
        <f>1+COUNTIF(E$5:$F147,E148)+COUNTIF((E$5:$F147),E148=E148)</f>
        <v>8</v>
      </c>
      <c r="G148" s="356" t="str">
        <f t="shared" si="25"/>
        <v>40068</v>
      </c>
      <c r="H148" s="112" t="s">
        <v>579</v>
      </c>
      <c r="I148" s="388" t="s">
        <v>1372</v>
      </c>
      <c r="J148" s="196">
        <f>IFERROR(GETPIVOTDATA("AMOUNT",PT_TB!$B$8, "ACCOUNT", D148), 0)</f>
        <v>26138.959999999999</v>
      </c>
      <c r="K148" s="343">
        <v>9356.1999999999989</v>
      </c>
      <c r="L148" s="343">
        <v>5390.1500000000005</v>
      </c>
      <c r="M148" s="343">
        <v>8887.68</v>
      </c>
      <c r="N148" s="343">
        <v>6986.56</v>
      </c>
      <c r="O148" s="343">
        <v>0</v>
      </c>
    </row>
    <row r="149" spans="1:15" ht="15.75" customHeight="1">
      <c r="A149" s="211">
        <f t="shared" si="24"/>
        <v>130</v>
      </c>
      <c r="B149" s="702" t="s">
        <v>1204</v>
      </c>
      <c r="C149" s="703" t="s">
        <v>1155</v>
      </c>
      <c r="D149" s="344" t="str">
        <f>CONCATENATE(B149," ",M_COA[[#This Row],[AccountName]])</f>
        <v>6695  Miscellaneous</v>
      </c>
      <c r="E149" s="386" t="s">
        <v>323</v>
      </c>
      <c r="F149" s="377">
        <f>1+COUNTIF(E$5:$F148,E149)+COUNTIF((E$5:$F148),E149=E149)</f>
        <v>9</v>
      </c>
      <c r="G149" s="356" t="str">
        <f t="shared" si="25"/>
        <v>40069</v>
      </c>
      <c r="H149" s="112" t="s">
        <v>579</v>
      </c>
      <c r="I149" s="388" t="s">
        <v>1372</v>
      </c>
      <c r="J149" s="196">
        <f>IFERROR(GETPIVOTDATA("AMOUNT",PT_TB!$B$8, "ACCOUNT", D149), 0)</f>
        <v>27820.74</v>
      </c>
      <c r="K149" s="343">
        <v>7289.1100000000006</v>
      </c>
      <c r="L149" s="343">
        <v>16310.67</v>
      </c>
      <c r="M149" s="343">
        <v>18818.46</v>
      </c>
      <c r="N149" s="343">
        <v>9873.8499999999985</v>
      </c>
      <c r="O149" s="343">
        <v>0</v>
      </c>
    </row>
    <row r="150" spans="1:15" ht="15.75" customHeight="1">
      <c r="A150" s="211">
        <f t="shared" si="24"/>
        <v>131</v>
      </c>
      <c r="B150" s="196" t="s">
        <v>0</v>
      </c>
      <c r="C150" s="196" t="s">
        <v>0</v>
      </c>
      <c r="D150" s="385" t="s">
        <v>249</v>
      </c>
      <c r="E150" s="344" t="s">
        <v>0</v>
      </c>
      <c r="F150" s="377" t="s">
        <v>0</v>
      </c>
      <c r="G150" s="356" t="str">
        <f t="shared" si="16"/>
        <v xml:space="preserve">  </v>
      </c>
      <c r="H150" s="706" t="s">
        <v>518</v>
      </c>
      <c r="I150" s="226" t="s">
        <v>249</v>
      </c>
      <c r="J150" s="196">
        <f>IFERROR(GETPIVOTDATA("AMOUNT",PT_TB!$B$8, "ACCOUNT", D150), 0)</f>
        <v>0</v>
      </c>
      <c r="K150" s="343">
        <v>0</v>
      </c>
      <c r="L150" s="343">
        <v>0</v>
      </c>
      <c r="M150" s="343">
        <v>0</v>
      </c>
      <c r="N150" s="343">
        <v>0</v>
      </c>
      <c r="O150" s="343">
        <v>0</v>
      </c>
    </row>
    <row r="151" spans="1:15" ht="15.75" customHeight="1">
      <c r="A151" s="211" t="s">
        <v>0</v>
      </c>
      <c r="B151" s="482" t="s">
        <v>1172</v>
      </c>
      <c r="C151" s="196" t="s">
        <v>1237</v>
      </c>
      <c r="D151" s="344" t="str">
        <f>CONCATENATE(B151," ",M_COA[[#This Row],[AccountName]])</f>
        <v>6310 Franchise fees</v>
      </c>
      <c r="E151" s="386" t="s">
        <v>1246</v>
      </c>
      <c r="F151" s="377">
        <f>1+COUNTIF(E$5:$F150,E151)+COUNTIF((E$5:$F150),E151=E151)</f>
        <v>1</v>
      </c>
      <c r="G151" s="356" t="str">
        <f t="shared" ref="G151" si="27">CONCATENATE(E151,F151)</f>
        <v>40071</v>
      </c>
      <c r="H151" s="387">
        <v>8763</v>
      </c>
      <c r="I151" s="196" t="s">
        <v>1237</v>
      </c>
      <c r="J151" s="196">
        <f>IFERROR(GETPIVOTDATA("AMOUNT",PT_TB!$B$8, "ACCOUNT", D151), 0)</f>
        <v>810542.21</v>
      </c>
      <c r="K151" s="343">
        <v>743163.04</v>
      </c>
      <c r="L151" s="343">
        <v>729919.77</v>
      </c>
      <c r="M151" s="343">
        <v>694823.72</v>
      </c>
      <c r="N151" s="343">
        <v>541798.99</v>
      </c>
      <c r="O151" s="343">
        <v>0</v>
      </c>
    </row>
    <row r="152" spans="1:15" ht="15.75" customHeight="1">
      <c r="A152" s="211">
        <v>132</v>
      </c>
      <c r="B152" s="480" t="s">
        <v>1173</v>
      </c>
      <c r="C152" s="229" t="s">
        <v>483</v>
      </c>
      <c r="D152" s="344" t="str">
        <f>CONCATENATE(B152," ",M_COA[[#This Row],[AccountName]])</f>
        <v>6330 Advertising and Promotion</v>
      </c>
      <c r="E152" s="386" t="s">
        <v>1246</v>
      </c>
      <c r="F152" s="377">
        <f>1+COUNTIF(E$5:$F150,E152)+COUNTIF((E$5:$F150),E152=E152)</f>
        <v>1</v>
      </c>
      <c r="G152" s="356" t="str">
        <f t="shared" si="16"/>
        <v>40071</v>
      </c>
      <c r="H152" s="387">
        <v>8521</v>
      </c>
      <c r="I152" s="388" t="s">
        <v>105</v>
      </c>
      <c r="J152" s="196">
        <f>IFERROR(GETPIVOTDATA("AMOUNT",PT_TB!$B$8, "ACCOUNT", D152), 0)</f>
        <v>105801.37</v>
      </c>
      <c r="K152" s="343">
        <v>116135.76</v>
      </c>
      <c r="L152" s="343">
        <v>34991.279999999999</v>
      </c>
      <c r="M152" s="343">
        <v>12302</v>
      </c>
      <c r="N152" s="343">
        <v>12929.11</v>
      </c>
      <c r="O152" s="343">
        <v>0</v>
      </c>
    </row>
    <row r="153" spans="1:15" ht="15.75" customHeight="1">
      <c r="A153" s="211">
        <f t="shared" si="24"/>
        <v>133</v>
      </c>
      <c r="B153" s="486" t="s">
        <v>1175</v>
      </c>
      <c r="C153" s="432" t="s">
        <v>283</v>
      </c>
      <c r="D153" s="344" t="str">
        <f>CONCATENATE(B153," ",M_COA[[#This Row],[AccountName]])</f>
        <v>6380 Meals and entertainment</v>
      </c>
      <c r="E153" s="386" t="s">
        <v>1246</v>
      </c>
      <c r="F153" s="377">
        <f>1+COUNTIF(E$5:$F152,E153)+COUNTIF((E$5:$F152),E153=E153)</f>
        <v>3</v>
      </c>
      <c r="G153" s="356" t="str">
        <f t="shared" si="16"/>
        <v>40073</v>
      </c>
      <c r="H153" s="387">
        <v>8523</v>
      </c>
      <c r="I153" s="388" t="s">
        <v>283</v>
      </c>
      <c r="J153" s="196">
        <f>IFERROR(GETPIVOTDATA("AMOUNT",PT_TB!$B$8, "ACCOUNT", D153), 0)</f>
        <v>21450.46</v>
      </c>
      <c r="K153" s="343">
        <v>15613.98</v>
      </c>
      <c r="L153" s="343">
        <v>22075.18</v>
      </c>
      <c r="M153" s="343">
        <v>25651.14</v>
      </c>
      <c r="N153" s="343">
        <v>10355.9</v>
      </c>
      <c r="O153" s="343">
        <v>0</v>
      </c>
    </row>
    <row r="154" spans="1:15" ht="15.75" customHeight="1">
      <c r="A154" s="211">
        <f t="shared" si="24"/>
        <v>134</v>
      </c>
      <c r="B154" s="701" t="s">
        <v>1174</v>
      </c>
      <c r="C154" s="485" t="s">
        <v>484</v>
      </c>
      <c r="D154" s="344" t="str">
        <f>CONCATENATE(B154," ",M_COA[[#This Row],[AccountName]])</f>
        <v>6360 Charitable Contributions</v>
      </c>
      <c r="E154" s="386" t="s">
        <v>1246</v>
      </c>
      <c r="F154" s="377">
        <f>1+COUNTIF(E$5:$F153,E154)+COUNTIF((E$5:$F153),E154=E154)</f>
        <v>4</v>
      </c>
      <c r="G154" s="356" t="str">
        <f t="shared" si="16"/>
        <v>40074</v>
      </c>
      <c r="H154" s="387">
        <v>8522</v>
      </c>
      <c r="I154" s="388" t="s">
        <v>253</v>
      </c>
      <c r="J154" s="196">
        <f>IFERROR(GETPIVOTDATA("AMOUNT",PT_TB!$B$8, "ACCOUNT", D154), 0)</f>
        <v>4802.34</v>
      </c>
      <c r="K154" s="343">
        <v>2729.55</v>
      </c>
      <c r="L154" s="343">
        <v>2000</v>
      </c>
      <c r="M154" s="343">
        <v>5600</v>
      </c>
      <c r="N154" s="343">
        <v>1339</v>
      </c>
      <c r="O154" s="343">
        <v>0</v>
      </c>
    </row>
    <row r="155" spans="1:15" ht="15.75" customHeight="1">
      <c r="A155" s="211">
        <f t="shared" si="24"/>
        <v>135</v>
      </c>
      <c r="B155" s="196" t="s">
        <v>0</v>
      </c>
      <c r="C155" s="196" t="s">
        <v>0</v>
      </c>
      <c r="D155" s="385" t="s">
        <v>248</v>
      </c>
      <c r="E155" s="344" t="s">
        <v>0</v>
      </c>
      <c r="F155" s="377" t="s">
        <v>0</v>
      </c>
      <c r="G155" s="356" t="str">
        <f t="shared" si="16"/>
        <v xml:space="preserve">  </v>
      </c>
      <c r="H155" s="706" t="s">
        <v>519</v>
      </c>
      <c r="I155" s="226" t="s">
        <v>248</v>
      </c>
      <c r="J155" s="196">
        <f>IFERROR(GETPIVOTDATA("AMOUNT",PT_TB!$B$8, "ACCOUNT", D155), 0)</f>
        <v>0</v>
      </c>
      <c r="K155" s="343">
        <v>0</v>
      </c>
      <c r="L155" s="343">
        <v>0</v>
      </c>
      <c r="M155" s="343">
        <v>0</v>
      </c>
      <c r="N155" s="343">
        <v>0</v>
      </c>
      <c r="O155" s="343">
        <v>0</v>
      </c>
    </row>
    <row r="156" spans="1:15" ht="15.75" customHeight="1">
      <c r="A156" s="211" t="s">
        <v>0</v>
      </c>
      <c r="B156" s="229" t="s">
        <v>485</v>
      </c>
      <c r="C156" s="229" t="s">
        <v>486</v>
      </c>
      <c r="D156" s="344" t="str">
        <f>CONCATENATE(B156," ",M_COA[[#This Row],[AccountName]])</f>
        <v>9200 Travel Expense</v>
      </c>
      <c r="E156" s="386" t="s">
        <v>327</v>
      </c>
      <c r="F156" s="377">
        <f>1+COUNTIF(E$5:$F155,E156)+COUNTIF((E$5:$F155),E156=E156)</f>
        <v>1</v>
      </c>
      <c r="G156" s="356" t="str">
        <f t="shared" si="16"/>
        <v>40081</v>
      </c>
      <c r="H156" s="387">
        <v>9200</v>
      </c>
      <c r="I156" s="388" t="s">
        <v>244</v>
      </c>
      <c r="J156" s="196">
        <f>IFERROR(GETPIVOTDATA("AMOUNT",PT_TB!$B$8, "ACCOUNT", D156), 0)</f>
        <v>0</v>
      </c>
      <c r="K156" s="343">
        <v>0</v>
      </c>
      <c r="L156" s="343">
        <v>0</v>
      </c>
      <c r="M156" s="343">
        <v>0</v>
      </c>
      <c r="N156" s="343">
        <v>0</v>
      </c>
      <c r="O156" s="343">
        <v>0</v>
      </c>
    </row>
    <row r="157" spans="1:15" ht="15.75" customHeight="1">
      <c r="A157" s="211">
        <v>136</v>
      </c>
      <c r="B157" s="486" t="s">
        <v>1176</v>
      </c>
      <c r="C157" s="432" t="s">
        <v>488</v>
      </c>
      <c r="D157" s="344" t="str">
        <f>CONCATENATE(B157," ",M_COA[[#This Row],[AccountName]])</f>
        <v>6390 Conventions, seminars</v>
      </c>
      <c r="E157" s="386" t="s">
        <v>327</v>
      </c>
      <c r="F157" s="377">
        <f>1+COUNTIF(E$5:$F156,E157)+COUNTIF((E$5:$F156),E157=E157)</f>
        <v>2</v>
      </c>
      <c r="G157" s="356" t="str">
        <f t="shared" si="16"/>
        <v>40082</v>
      </c>
      <c r="H157" s="387">
        <v>9201</v>
      </c>
      <c r="I157" s="388" t="s">
        <v>285</v>
      </c>
      <c r="J157" s="196">
        <f>IFERROR(GETPIVOTDATA("AMOUNT",PT_TB!$B$8, "ACCOUNT", D157), 0)</f>
        <v>0</v>
      </c>
      <c r="K157" s="343">
        <v>0</v>
      </c>
      <c r="L157" s="343">
        <v>0</v>
      </c>
      <c r="M157" s="343">
        <v>0</v>
      </c>
      <c r="N157" s="343">
        <v>0</v>
      </c>
      <c r="O157" s="343">
        <v>0</v>
      </c>
    </row>
    <row r="158" spans="1:15" ht="15.75" customHeight="1">
      <c r="A158" s="211">
        <f t="shared" si="24"/>
        <v>137</v>
      </c>
      <c r="B158" s="432" t="s">
        <v>489</v>
      </c>
      <c r="C158" s="432" t="s">
        <v>490</v>
      </c>
      <c r="D158" s="344" t="str">
        <f>CONCATENATE(B158," ",M_COA[[#This Row],[AccountName]])</f>
        <v>9202 Air and train Fares</v>
      </c>
      <c r="E158" s="386" t="s">
        <v>327</v>
      </c>
      <c r="F158" s="377">
        <f>1+COUNTIF(E$5:$F157,E158)+COUNTIF((E$5:$F157),E158=E158)</f>
        <v>3</v>
      </c>
      <c r="G158" s="356" t="str">
        <f t="shared" si="16"/>
        <v>40083</v>
      </c>
      <c r="H158" s="387">
        <v>9202</v>
      </c>
      <c r="I158" s="388" t="s">
        <v>367</v>
      </c>
      <c r="J158" s="196">
        <f>IFERROR(GETPIVOTDATA("AMOUNT",PT_TB!$B$8, "ACCOUNT", D158), 0)</f>
        <v>0</v>
      </c>
      <c r="K158" s="343">
        <v>0</v>
      </c>
      <c r="L158" s="343">
        <v>0</v>
      </c>
      <c r="M158" s="343">
        <v>0</v>
      </c>
      <c r="N158" s="343">
        <v>0</v>
      </c>
      <c r="O158" s="343">
        <v>0</v>
      </c>
    </row>
    <row r="159" spans="1:15" ht="15.75" customHeight="1">
      <c r="A159" s="211">
        <f t="shared" si="24"/>
        <v>138</v>
      </c>
      <c r="B159" s="196" t="s">
        <v>0</v>
      </c>
      <c r="C159" s="196" t="s">
        <v>0</v>
      </c>
      <c r="D159" s="392" t="s">
        <v>245</v>
      </c>
      <c r="E159" s="344" t="s">
        <v>0</v>
      </c>
      <c r="F159" s="377" t="s">
        <v>0</v>
      </c>
      <c r="G159" s="356" t="str">
        <f t="shared" si="16"/>
        <v xml:space="preserve">  </v>
      </c>
      <c r="H159" s="706" t="s">
        <v>520</v>
      </c>
      <c r="I159" s="226" t="s">
        <v>245</v>
      </c>
      <c r="J159" s="196">
        <f>IFERROR(GETPIVOTDATA("AMOUNT",PT_TB!$B$8, "ACCOUNT", D159), 0)</f>
        <v>0</v>
      </c>
      <c r="K159" s="343">
        <v>0</v>
      </c>
      <c r="L159" s="343">
        <v>0</v>
      </c>
      <c r="M159" s="343">
        <v>0</v>
      </c>
      <c r="N159" s="343">
        <v>0</v>
      </c>
      <c r="O159" s="343">
        <v>0</v>
      </c>
    </row>
    <row r="160" spans="1:15" ht="15.75" customHeight="1">
      <c r="A160" s="211" t="s">
        <v>0</v>
      </c>
      <c r="B160" s="432" t="s">
        <v>491</v>
      </c>
      <c r="C160" s="432" t="s">
        <v>492</v>
      </c>
      <c r="D160" s="344" t="str">
        <f>CONCATENATE(B160," ",M_COA[[#This Row],[AccountName]])</f>
        <v>5010 Amortization Expense</v>
      </c>
      <c r="E160" s="386" t="s">
        <v>320</v>
      </c>
      <c r="F160" s="377">
        <f>1+COUNTIF(E$5:$F159,E160)+COUNTIF((E$5:$F159),E160=E160)</f>
        <v>1</v>
      </c>
      <c r="G160" s="356" t="str">
        <f t="shared" si="16"/>
        <v>40091</v>
      </c>
      <c r="H160" s="387">
        <v>8570</v>
      </c>
      <c r="I160" s="388" t="s">
        <v>600</v>
      </c>
      <c r="J160" s="196">
        <f>IFERROR(GETPIVOTDATA("AMOUNT",PT_TB!$B$8, "ACCOUNT", D160), 0)</f>
        <v>166053.86000000002</v>
      </c>
      <c r="K160" s="343">
        <v>193861.43</v>
      </c>
      <c r="L160" s="343">
        <v>2176.91</v>
      </c>
      <c r="M160" s="343">
        <v>189504.65999999997</v>
      </c>
      <c r="N160" s="343">
        <v>125998.11000000002</v>
      </c>
      <c r="O160" s="343">
        <v>0</v>
      </c>
    </row>
    <row r="161" spans="1:15" ht="15.75" customHeight="1">
      <c r="A161" s="211">
        <v>138</v>
      </c>
      <c r="B161" s="196" t="s">
        <v>0</v>
      </c>
      <c r="C161" s="196" t="s">
        <v>0</v>
      </c>
      <c r="D161" s="380" t="s">
        <v>534</v>
      </c>
      <c r="E161" s="344" t="s">
        <v>0</v>
      </c>
      <c r="F161" s="377" t="s">
        <v>0</v>
      </c>
      <c r="G161" s="356" t="str">
        <f t="shared" si="16"/>
        <v xml:space="preserve">  </v>
      </c>
      <c r="H161" s="706" t="s">
        <v>533</v>
      </c>
      <c r="I161" s="226" t="s">
        <v>534</v>
      </c>
      <c r="J161" s="196">
        <f>IFERROR(GETPIVOTDATA("AMOUNT",PT_TB!$B$8, "ACCOUNT", D161), 0)</f>
        <v>0</v>
      </c>
      <c r="K161" s="343">
        <v>0</v>
      </c>
      <c r="L161" s="343">
        <v>0</v>
      </c>
      <c r="M161" s="343">
        <v>0</v>
      </c>
      <c r="N161" s="343">
        <v>0</v>
      </c>
      <c r="O161" s="343">
        <v>0</v>
      </c>
    </row>
    <row r="162" spans="1:15" ht="15.75" customHeight="1">
      <c r="A162" s="211" t="s">
        <v>0</v>
      </c>
      <c r="B162" s="195" t="s">
        <v>493</v>
      </c>
      <c r="C162" s="195" t="s">
        <v>496</v>
      </c>
      <c r="D162" s="344" t="str">
        <f>CONCATENATE(B162," ",M_COA[[#This Row],[AccountName]])</f>
        <v>8900 Gain on disposition of assets</v>
      </c>
      <c r="E162" s="381" t="s">
        <v>343</v>
      </c>
      <c r="F162" s="377">
        <f>1+COUNTIF(E$5:$F161,E162)+COUNTIF((E$5:$F161),E162=E162)</f>
        <v>1</v>
      </c>
      <c r="G162" s="356" t="str">
        <f t="shared" si="16"/>
        <v>40101</v>
      </c>
      <c r="H162" s="393">
        <v>8210</v>
      </c>
      <c r="I162" s="394" t="s">
        <v>344</v>
      </c>
      <c r="J162" s="196">
        <f>IFERROR(GETPIVOTDATA("AMOUNT",PT_TB!$B$8, "ACCOUNT", D162), 0)</f>
        <v>-7325.7400000000016</v>
      </c>
      <c r="K162" s="343">
        <v>0</v>
      </c>
      <c r="L162" s="343">
        <v>0</v>
      </c>
      <c r="M162" s="343">
        <v>0</v>
      </c>
      <c r="N162" s="343">
        <v>0</v>
      </c>
      <c r="O162" s="343">
        <v>0</v>
      </c>
    </row>
    <row r="163" spans="1:15" ht="15.75" customHeight="1">
      <c r="A163" s="211">
        <v>139</v>
      </c>
      <c r="B163" s="196" t="s">
        <v>0</v>
      </c>
      <c r="C163" s="196" t="s">
        <v>0</v>
      </c>
      <c r="D163" s="379" t="s">
        <v>535</v>
      </c>
      <c r="E163" s="344" t="s">
        <v>0</v>
      </c>
      <c r="F163" s="377" t="s">
        <v>0</v>
      </c>
      <c r="G163" s="356" t="str">
        <f t="shared" si="16"/>
        <v xml:space="preserve">  </v>
      </c>
      <c r="H163" s="706" t="s">
        <v>1244</v>
      </c>
      <c r="I163" s="226" t="s">
        <v>535</v>
      </c>
      <c r="J163" s="196">
        <f>IFERROR(GETPIVOTDATA("AMOUNT",PT_TB!$B$8, "ACCOUNT", D163), 0)</f>
        <v>0</v>
      </c>
      <c r="K163" s="343">
        <v>0</v>
      </c>
      <c r="L163" s="343">
        <v>0</v>
      </c>
      <c r="M163" s="343">
        <v>0</v>
      </c>
      <c r="N163" s="343">
        <v>0</v>
      </c>
      <c r="O163" s="343">
        <v>0</v>
      </c>
    </row>
    <row r="164" spans="1:15" ht="15.75" customHeight="1">
      <c r="A164" s="211" t="s">
        <v>0</v>
      </c>
      <c r="B164" s="480" t="s">
        <v>504</v>
      </c>
      <c r="C164" s="229" t="s">
        <v>494</v>
      </c>
      <c r="D164" s="344" t="str">
        <f>CONCATENATE(B164," ",M_COA[[#This Row],[AccountName]])</f>
        <v>9990 interest and penalties - CRA</v>
      </c>
      <c r="E164" s="381" t="s">
        <v>279</v>
      </c>
      <c r="F164" s="377">
        <f>1+COUNTIF(E$5:$F163,E164)+COUNTIF((E$5:$F163),E164=E164)</f>
        <v>1</v>
      </c>
      <c r="G164" s="356" t="str">
        <f t="shared" si="16"/>
        <v>801</v>
      </c>
      <c r="H164" s="382">
        <v>9990</v>
      </c>
      <c r="I164" s="225" t="s">
        <v>599</v>
      </c>
      <c r="J164" s="196">
        <f>IFERROR(GETPIVOTDATA("AMOUNT",PT_TB!$B$8, "ACCOUNT", D164), 0)</f>
        <v>0</v>
      </c>
      <c r="K164" s="343">
        <v>0</v>
      </c>
      <c r="L164" s="343">
        <v>0</v>
      </c>
      <c r="M164" s="343">
        <v>0</v>
      </c>
      <c r="N164" s="343">
        <v>0</v>
      </c>
      <c r="O164" s="343">
        <v>0</v>
      </c>
    </row>
    <row r="165" spans="1:15" ht="15.75" customHeight="1">
      <c r="A165" s="211">
        <v>140</v>
      </c>
      <c r="B165" s="196" t="s">
        <v>446</v>
      </c>
      <c r="C165" s="196" t="s">
        <v>447</v>
      </c>
      <c r="D165" s="344" t="str">
        <f>CONCATENATE(B165," ",M_COA[[#This Row],[AccountName]])</f>
        <v>4140 Foreign Taxes Paid</v>
      </c>
      <c r="E165" s="376" t="s">
        <v>279</v>
      </c>
      <c r="F165" s="377">
        <f>1+COUNTIF(E$5:$F164,E165)+COUNTIF((E$5:$F164),E165=E165)</f>
        <v>2</v>
      </c>
      <c r="G165" s="356" t="str">
        <f>CONCATENATE(E165,F165)</f>
        <v>802</v>
      </c>
      <c r="H165" s="382">
        <v>9990</v>
      </c>
      <c r="I165" s="225" t="s">
        <v>599</v>
      </c>
      <c r="J165" s="196">
        <f>IFERROR(GETPIVOTDATA("AMOUNT",PT_TB!$B$8, "ACCOUNT", D165), 0)</f>
        <v>13.08</v>
      </c>
      <c r="K165" s="343">
        <v>0</v>
      </c>
      <c r="L165" s="343">
        <v>0</v>
      </c>
      <c r="M165" s="343">
        <v>0</v>
      </c>
      <c r="N165" s="343">
        <v>0</v>
      </c>
      <c r="O165" s="343">
        <v>0</v>
      </c>
    </row>
    <row r="166" spans="1:15" ht="15.75" customHeight="1">
      <c r="A166" s="211">
        <f t="shared" si="24"/>
        <v>141</v>
      </c>
      <c r="B166" s="486" t="s">
        <v>505</v>
      </c>
      <c r="C166" s="432" t="s">
        <v>495</v>
      </c>
      <c r="D166" s="344" t="str">
        <f>CONCATENATE(B166," ",M_COA[[#This Row],[AccountName]])</f>
        <v xml:space="preserve">9991 income tax </v>
      </c>
      <c r="E166" s="381" t="s">
        <v>279</v>
      </c>
      <c r="F166" s="377">
        <f>1+COUNTIF(E$5:$F165,E166)+COUNTIF((E$5:$F165),E166=E166)</f>
        <v>3</v>
      </c>
      <c r="G166" s="356" t="str">
        <f t="shared" si="16"/>
        <v>803</v>
      </c>
      <c r="H166" s="382">
        <v>9990</v>
      </c>
      <c r="I166" s="225" t="s">
        <v>599</v>
      </c>
      <c r="J166" s="196">
        <f>IFERROR(GETPIVOTDATA("AMOUNT",PT_TB!$B$8, "ACCOUNT", D166), 0)</f>
        <v>0</v>
      </c>
      <c r="K166" s="196">
        <v>13961.47</v>
      </c>
      <c r="L166" s="196">
        <v>116990.34999999999</v>
      </c>
      <c r="M166" s="196">
        <v>113060.56</v>
      </c>
      <c r="N166" s="196">
        <v>30976.35</v>
      </c>
      <c r="O166" s="343">
        <v>0</v>
      </c>
    </row>
    <row r="167" spans="1:15" ht="15.75" customHeight="1">
      <c r="A167" s="211">
        <f t="shared" si="24"/>
        <v>142</v>
      </c>
      <c r="B167" s="486"/>
      <c r="C167" s="432"/>
      <c r="D167" s="202"/>
      <c r="E167" s="656"/>
      <c r="F167" s="657"/>
      <c r="G167" s="658"/>
      <c r="H167" s="659"/>
      <c r="I167" s="660"/>
      <c r="J167" s="196">
        <f>IFERROR(GETPIVOTDATA("AMOUNT",PT_TB!$B$8, "ACCOUNT", D167), 0)</f>
        <v>0</v>
      </c>
      <c r="K167" s="661"/>
      <c r="L167" s="661"/>
      <c r="M167" s="661"/>
      <c r="N167" s="661"/>
      <c r="O167" s="661"/>
    </row>
    <row r="168" spans="1:15" ht="15.75" customHeight="1">
      <c r="A168" s="211"/>
      <c r="B168" s="486"/>
      <c r="C168" s="432"/>
      <c r="D168" s="202"/>
      <c r="E168" s="656"/>
      <c r="F168" s="657"/>
      <c r="G168" s="658"/>
      <c r="H168" s="659"/>
      <c r="I168" s="660"/>
      <c r="J168" s="196">
        <f>IFERROR(GETPIVOTDATA("AMOUNT",PT_TB!$B$8, "ACCOUNT", D168), 0)</f>
        <v>0</v>
      </c>
      <c r="K168" s="661"/>
      <c r="L168" s="661"/>
      <c r="M168" s="661"/>
      <c r="N168" s="661"/>
      <c r="O168" s="661"/>
    </row>
    <row r="169" spans="1:15" ht="15.75" customHeight="1">
      <c r="A169" s="211"/>
      <c r="B169" s="486"/>
      <c r="C169" s="432"/>
      <c r="D169" s="202"/>
      <c r="E169" s="656"/>
      <c r="F169" s="657"/>
      <c r="G169" s="658"/>
      <c r="H169" s="659"/>
      <c r="I169" s="660"/>
      <c r="J169" s="196">
        <f>IFERROR(GETPIVOTDATA("AMOUNT",PT_TB!$B$8, "ACCOUNT", D169), 0)</f>
        <v>0</v>
      </c>
      <c r="K169" s="661"/>
      <c r="L169" s="661"/>
      <c r="M169" s="661"/>
      <c r="N169" s="661"/>
      <c r="O169" s="661"/>
    </row>
    <row r="170" spans="1:15" ht="15.75" customHeight="1">
      <c r="A170" s="211"/>
      <c r="B170" s="486"/>
      <c r="C170" s="432"/>
      <c r="D170" s="202"/>
      <c r="E170" s="656"/>
      <c r="F170" s="657"/>
      <c r="G170" s="658"/>
      <c r="H170" s="659"/>
      <c r="I170" s="660"/>
      <c r="J170" s="196">
        <f>IFERROR(GETPIVOTDATA("AMOUNT",PT_TB!$B$8, "ACCOUNT", D170), 0)</f>
        <v>0</v>
      </c>
      <c r="K170" s="661"/>
      <c r="L170" s="661"/>
      <c r="M170" s="661"/>
      <c r="N170" s="661"/>
      <c r="O170" s="661"/>
    </row>
    <row r="171" spans="1:15" ht="15.75" customHeight="1">
      <c r="A171" s="211"/>
      <c r="B171" s="486"/>
      <c r="C171" s="432"/>
      <c r="D171" s="202"/>
      <c r="E171" s="656"/>
      <c r="F171" s="657"/>
      <c r="G171" s="658"/>
      <c r="H171" s="659"/>
      <c r="I171" s="660"/>
      <c r="J171" s="196">
        <f>IFERROR(GETPIVOTDATA("AMOUNT",PT_TB!$B$8, "ACCOUNT", D171), 0)</f>
        <v>0</v>
      </c>
      <c r="K171" s="661"/>
      <c r="L171" s="661"/>
      <c r="M171" s="661"/>
      <c r="N171" s="661"/>
      <c r="O171" s="661"/>
    </row>
    <row r="172" spans="1:15" ht="15.75" customHeight="1">
      <c r="A172" s="211"/>
      <c r="B172" s="486"/>
      <c r="C172" s="432"/>
      <c r="D172" s="202"/>
      <c r="E172" s="656"/>
      <c r="F172" s="657"/>
      <c r="G172" s="658"/>
      <c r="H172" s="659"/>
      <c r="I172" s="660"/>
      <c r="J172" s="196">
        <f>IFERROR(GETPIVOTDATA("AMOUNT",PT_TB!$B$8, "ACCOUNT", D172), 0)</f>
        <v>0</v>
      </c>
      <c r="K172" s="661"/>
      <c r="L172" s="661"/>
      <c r="M172" s="661"/>
      <c r="N172" s="661"/>
      <c r="O172" s="661"/>
    </row>
    <row r="173" spans="1:15" ht="15.75" customHeight="1">
      <c r="A173" s="211"/>
      <c r="B173" s="432"/>
      <c r="C173" s="432"/>
      <c r="D173" s="41"/>
      <c r="E173" s="432"/>
      <c r="F173" s="434"/>
      <c r="G173" s="432"/>
      <c r="H173" s="435"/>
      <c r="I173" s="375"/>
      <c r="K173" s="436"/>
      <c r="L173" s="195"/>
      <c r="M173" s="195"/>
      <c r="N173" s="195"/>
      <c r="O173" s="195"/>
    </row>
    <row r="174" spans="1:15" ht="15.75" customHeight="1">
      <c r="A174" s="211"/>
      <c r="C174" s="424"/>
      <c r="D174" s="424"/>
      <c r="E174" s="424"/>
      <c r="J174" s="196">
        <f t="shared" ref="J174:O174" si="28">SUM(J6:J173)</f>
        <v>-1.1452350179297355E-10</v>
      </c>
      <c r="K174" s="196">
        <f t="shared" si="28"/>
        <v>5.2204995881766081E-10</v>
      </c>
      <c r="L174" s="196">
        <f t="shared" si="28"/>
        <v>7.1304384618997574E-10</v>
      </c>
      <c r="M174" s="196">
        <f t="shared" si="28"/>
        <v>-3.4924596548080444E-10</v>
      </c>
      <c r="N174" s="196">
        <f t="shared" si="28"/>
        <v>0</v>
      </c>
      <c r="O174" s="196">
        <f t="shared" si="28"/>
        <v>0</v>
      </c>
    </row>
    <row r="175" spans="1:15" ht="15.75" customHeight="1">
      <c r="A175" s="211"/>
      <c r="C175" s="424"/>
      <c r="D175" s="424"/>
      <c r="E175" s="424"/>
    </row>
    <row r="176" spans="1:15" ht="15.75" customHeight="1">
      <c r="A176" s="211"/>
      <c r="C176" s="424"/>
      <c r="D176" s="424"/>
      <c r="E176" s="424"/>
      <c r="J176" s="196">
        <f t="shared" ref="J176:O176" si="29">SUM(J73:J166)</f>
        <v>-88084.60999999952</v>
      </c>
      <c r="K176" s="196">
        <f t="shared" si="29"/>
        <v>-34180.320000000705</v>
      </c>
      <c r="L176" s="196">
        <f t="shared" si="29"/>
        <v>-286421.38000000012</v>
      </c>
      <c r="M176" s="196">
        <f t="shared" si="29"/>
        <v>-276800.2400000015</v>
      </c>
      <c r="N176" s="196">
        <f t="shared" si="29"/>
        <v>-75839.770000000222</v>
      </c>
      <c r="O176" s="196">
        <f t="shared" si="29"/>
        <v>0</v>
      </c>
    </row>
    <row r="177" spans="1:15" ht="15.75" customHeight="1">
      <c r="A177" s="211"/>
      <c r="C177" s="424"/>
      <c r="D177" s="424"/>
      <c r="E177" s="424"/>
    </row>
    <row r="178" spans="1:15" ht="15.75" customHeight="1">
      <c r="A178" s="211"/>
      <c r="C178" s="424"/>
      <c r="D178" s="424"/>
      <c r="E178" s="424"/>
      <c r="J178" s="196">
        <f t="shared" ref="J178:O179" si="30">J71</f>
        <v>-628827.28</v>
      </c>
      <c r="K178" s="196">
        <f t="shared" si="30"/>
        <v>-594646.96000000183</v>
      </c>
      <c r="L178" s="196">
        <f t="shared" si="30"/>
        <v>-446025.5800000017</v>
      </c>
      <c r="M178" s="196">
        <f t="shared" si="30"/>
        <v>-169225.3400000002</v>
      </c>
      <c r="N178" s="196">
        <f t="shared" si="30"/>
        <v>-295387.56999999995</v>
      </c>
      <c r="O178" s="196">
        <f t="shared" si="30"/>
        <v>0</v>
      </c>
    </row>
    <row r="179" spans="1:15" ht="15.75" customHeight="1">
      <c r="A179" s="211"/>
      <c r="C179" s="424"/>
      <c r="D179" s="424"/>
      <c r="E179" s="424"/>
      <c r="J179" s="196">
        <f t="shared" si="30"/>
        <v>182989</v>
      </c>
      <c r="K179" s="196">
        <f t="shared" si="30"/>
        <v>0</v>
      </c>
      <c r="L179" s="196">
        <f t="shared" si="30"/>
        <v>137800</v>
      </c>
      <c r="M179" s="196">
        <f t="shared" si="30"/>
        <v>0</v>
      </c>
      <c r="N179" s="196">
        <f t="shared" si="30"/>
        <v>202002</v>
      </c>
      <c r="O179" s="196">
        <f t="shared" si="30"/>
        <v>0</v>
      </c>
    </row>
    <row r="180" spans="1:15" ht="15.75" customHeight="1">
      <c r="A180" s="211"/>
      <c r="C180" s="424"/>
      <c r="D180" s="424"/>
      <c r="E180" s="424"/>
    </row>
    <row r="181" spans="1:15" ht="15.75" customHeight="1">
      <c r="A181" s="211"/>
      <c r="C181" s="424"/>
      <c r="D181" s="424"/>
      <c r="E181" s="424"/>
      <c r="J181" s="196">
        <f>J176+J178+J179</f>
        <v>-533922.88999999955</v>
      </c>
      <c r="K181" s="196">
        <f t="shared" ref="K181:O181" si="31">K176+K178+K179</f>
        <v>-628827.28000000259</v>
      </c>
      <c r="L181" s="196">
        <f t="shared" si="31"/>
        <v>-594646.96000000183</v>
      </c>
      <c r="M181" s="196">
        <f t="shared" si="31"/>
        <v>-446025.5800000017</v>
      </c>
      <c r="N181" s="196">
        <f t="shared" si="31"/>
        <v>-169225.3400000002</v>
      </c>
      <c r="O181" s="196">
        <f t="shared" si="31"/>
        <v>0</v>
      </c>
    </row>
    <row r="182" spans="1:15" ht="15.75" customHeight="1">
      <c r="A182" s="211"/>
      <c r="C182" s="424"/>
      <c r="D182" s="424"/>
      <c r="E182" s="424"/>
    </row>
    <row r="183" spans="1:15" ht="15.75" customHeight="1">
      <c r="C183" s="424"/>
      <c r="D183" s="424"/>
      <c r="E183" s="424"/>
    </row>
    <row r="184" spans="1:15" ht="15.75" customHeight="1">
      <c r="C184" s="424"/>
      <c r="D184" s="424"/>
      <c r="E184" s="424"/>
      <c r="H184" s="345"/>
      <c r="J184" s="551"/>
      <c r="K184" s="551"/>
      <c r="L184" s="551"/>
      <c r="M184" s="551"/>
      <c r="N184" s="551"/>
      <c r="O184" s="552"/>
    </row>
    <row r="185" spans="1:15" ht="15.75" customHeight="1">
      <c r="C185" s="424"/>
      <c r="D185" s="424"/>
      <c r="E185" s="424"/>
      <c r="H185" s="712"/>
    </row>
    <row r="186" spans="1:15" ht="15.75" customHeight="1">
      <c r="C186" s="424"/>
      <c r="D186" s="424"/>
      <c r="E186" s="424"/>
      <c r="H186" s="712"/>
    </row>
    <row r="187" spans="1:15" ht="15.75" customHeight="1">
      <c r="C187" s="424"/>
      <c r="D187" s="424"/>
      <c r="E187" s="424"/>
      <c r="H187" s="712"/>
    </row>
    <row r="188" spans="1:15" ht="15.75" customHeight="1">
      <c r="C188" s="424"/>
      <c r="D188" s="424"/>
      <c r="E188" s="424"/>
      <c r="H188" s="712"/>
    </row>
    <row r="189" spans="1:15" ht="15.75" customHeight="1">
      <c r="H189" s="712"/>
    </row>
    <row r="190" spans="1:15" ht="15.75" customHeight="1">
      <c r="H190" s="712"/>
    </row>
    <row r="191" spans="1:15" ht="15.75" customHeight="1">
      <c r="H191" s="712"/>
    </row>
    <row r="192" spans="1:15" ht="15.75" customHeight="1">
      <c r="H192" s="712"/>
    </row>
    <row r="193" spans="8:8" ht="15.75" customHeight="1">
      <c r="H193" s="712"/>
    </row>
    <row r="194" spans="8:8" ht="15.75" customHeight="1">
      <c r="H194" s="712"/>
    </row>
    <row r="195" spans="8:8" ht="15.75" customHeight="1">
      <c r="H195" s="712"/>
    </row>
    <row r="196" spans="8:8" ht="15.75" customHeight="1">
      <c r="H196" s="712"/>
    </row>
    <row r="197" spans="8:8" ht="15.75" customHeight="1">
      <c r="H197" s="712"/>
    </row>
    <row r="198" spans="8:8" ht="15.75" customHeight="1">
      <c r="H198" s="712"/>
    </row>
    <row r="199" spans="8:8" ht="15.75" customHeight="1">
      <c r="H199" s="712"/>
    </row>
    <row r="200" spans="8:8" ht="15.75" customHeight="1">
      <c r="H200" s="712"/>
    </row>
    <row r="201" spans="8:8" ht="15.75" customHeight="1">
      <c r="H201" s="712"/>
    </row>
    <row r="202" spans="8:8" ht="15.75" customHeight="1">
      <c r="H202" s="712"/>
    </row>
    <row r="203" spans="8:8" ht="15.75" customHeight="1">
      <c r="H203" s="712"/>
    </row>
    <row r="204" spans="8:8" ht="15.75" customHeight="1">
      <c r="H204" s="712"/>
    </row>
    <row r="205" spans="8:8" ht="15.75" customHeight="1">
      <c r="H205" s="712"/>
    </row>
    <row r="206" spans="8:8" ht="15.75" customHeight="1">
      <c r="H206" s="712"/>
    </row>
    <row r="207" spans="8:8" ht="15.75" customHeight="1">
      <c r="H207" s="712"/>
    </row>
    <row r="208" spans="8:8" ht="15.75" customHeight="1">
      <c r="H208" s="712"/>
    </row>
    <row r="209" spans="8:8" ht="15.75" customHeight="1">
      <c r="H209" s="712"/>
    </row>
    <row r="210" spans="8:8" ht="15.75" customHeight="1">
      <c r="H210" s="712"/>
    </row>
    <row r="211" spans="8:8" ht="15.75" customHeight="1">
      <c r="H211" s="712"/>
    </row>
    <row r="212" spans="8:8" ht="15.75" customHeight="1">
      <c r="H212" s="712"/>
    </row>
    <row r="213" spans="8:8" ht="15.75" customHeight="1">
      <c r="H213" s="712"/>
    </row>
    <row r="214" spans="8:8" ht="15.75" customHeight="1">
      <c r="H214" s="712"/>
    </row>
    <row r="215" spans="8:8" ht="15.75" customHeight="1">
      <c r="H215" s="712"/>
    </row>
    <row r="216" spans="8:8" ht="15.75" customHeight="1">
      <c r="H216" s="712"/>
    </row>
    <row r="217" spans="8:8" ht="15.75" customHeight="1">
      <c r="H217" s="712"/>
    </row>
    <row r="218" spans="8:8" ht="15.75" customHeight="1">
      <c r="H218" s="712"/>
    </row>
    <row r="219" spans="8:8" ht="15.75" customHeight="1">
      <c r="H219" s="712"/>
    </row>
    <row r="220" spans="8:8" ht="15.75" customHeight="1">
      <c r="H220" s="712"/>
    </row>
    <row r="221" spans="8:8" ht="15.75" customHeight="1">
      <c r="H221" s="712"/>
    </row>
    <row r="222" spans="8:8" ht="15.75" customHeight="1">
      <c r="H222" s="712"/>
    </row>
    <row r="223" spans="8:8" ht="15.75" customHeight="1">
      <c r="H223" s="712"/>
    </row>
    <row r="224" spans="8:8" ht="15.75" customHeight="1">
      <c r="H224" s="712"/>
    </row>
    <row r="225" spans="8:8" ht="15.75" customHeight="1">
      <c r="H225" s="712"/>
    </row>
    <row r="226" spans="8:8" ht="15.75" customHeight="1">
      <c r="H226" s="712"/>
    </row>
    <row r="227" spans="8:8" ht="15.75" customHeight="1">
      <c r="H227" s="712"/>
    </row>
    <row r="228" spans="8:8" ht="15.75" customHeight="1">
      <c r="H228" s="712"/>
    </row>
    <row r="229" spans="8:8" ht="15.75" customHeight="1">
      <c r="H229" s="712"/>
    </row>
    <row r="230" spans="8:8" ht="15.75" customHeight="1">
      <c r="H230" s="712"/>
    </row>
    <row r="231" spans="8:8" ht="15.75" customHeight="1">
      <c r="H231" s="712"/>
    </row>
    <row r="232" spans="8:8" ht="15.75" customHeight="1">
      <c r="H232" s="712"/>
    </row>
    <row r="233" spans="8:8" ht="15.75" customHeight="1">
      <c r="H233" s="712"/>
    </row>
    <row r="234" spans="8:8" ht="15.75" customHeight="1">
      <c r="H234" s="712"/>
    </row>
    <row r="235" spans="8:8" ht="15.75" customHeight="1">
      <c r="H235" s="712"/>
    </row>
    <row r="236" spans="8:8" ht="15.75" customHeight="1">
      <c r="H236" s="712"/>
    </row>
    <row r="237" spans="8:8" ht="15.75" customHeight="1">
      <c r="H237" s="712"/>
    </row>
    <row r="238" spans="8:8" ht="15.75" customHeight="1">
      <c r="H238" s="712"/>
    </row>
    <row r="239" spans="8:8" ht="15.75" customHeight="1">
      <c r="H239" s="712"/>
    </row>
    <row r="240" spans="8:8" ht="15.75" customHeight="1">
      <c r="H240" s="712"/>
    </row>
    <row r="241" spans="8:8" ht="15.75" customHeight="1">
      <c r="H241" s="712"/>
    </row>
    <row r="242" spans="8:8" ht="15.75" customHeight="1">
      <c r="H242" s="712"/>
    </row>
    <row r="243" spans="8:8" ht="15.75" customHeight="1">
      <c r="H243" s="712"/>
    </row>
    <row r="244" spans="8:8" ht="15.75" customHeight="1">
      <c r="H244" s="712"/>
    </row>
    <row r="245" spans="8:8" ht="15.75" customHeight="1">
      <c r="H245" s="712"/>
    </row>
    <row r="246" spans="8:8" ht="15.75" customHeight="1">
      <c r="H246" s="712"/>
    </row>
    <row r="247" spans="8:8" ht="15.75" customHeight="1">
      <c r="H247" s="712"/>
    </row>
    <row r="248" spans="8:8" ht="15.75" customHeight="1">
      <c r="H248" s="712"/>
    </row>
    <row r="249" spans="8:8" ht="15.75" customHeight="1">
      <c r="H249" s="712"/>
    </row>
    <row r="250" spans="8:8" ht="15.75" customHeight="1">
      <c r="H250" s="712"/>
    </row>
    <row r="251" spans="8:8" ht="15.75" customHeight="1">
      <c r="H251" s="712"/>
    </row>
    <row r="252" spans="8:8" ht="15.75" customHeight="1">
      <c r="H252" s="712"/>
    </row>
    <row r="253" spans="8:8" ht="15.75" customHeight="1">
      <c r="H253" s="712"/>
    </row>
    <row r="254" spans="8:8" ht="15.75" customHeight="1">
      <c r="H254" s="712"/>
    </row>
    <row r="255" spans="8:8" ht="15.75" customHeight="1">
      <c r="H255" s="712"/>
    </row>
    <row r="256" spans="8:8" ht="15.75" customHeight="1">
      <c r="H256" s="712"/>
    </row>
    <row r="257" spans="8:8" ht="15.75" customHeight="1">
      <c r="H257" s="712"/>
    </row>
    <row r="258" spans="8:8" ht="15.75" customHeight="1">
      <c r="H258" s="712"/>
    </row>
    <row r="259" spans="8:8" ht="15.75" customHeight="1">
      <c r="H259" s="712"/>
    </row>
    <row r="260" spans="8:8" ht="15.75" customHeight="1">
      <c r="H260" s="712"/>
    </row>
    <row r="261" spans="8:8" ht="15.75" customHeight="1">
      <c r="H261" s="712"/>
    </row>
    <row r="262" spans="8:8" ht="15.75" customHeight="1">
      <c r="H262" s="712"/>
    </row>
    <row r="263" spans="8:8" ht="15.75" customHeight="1">
      <c r="H263" s="712"/>
    </row>
    <row r="264" spans="8:8" ht="15.75" customHeight="1">
      <c r="H264" s="712"/>
    </row>
    <row r="265" spans="8:8" ht="15.75" customHeight="1">
      <c r="H265" s="712"/>
    </row>
    <row r="266" spans="8:8" ht="15.75" customHeight="1">
      <c r="H266" s="712"/>
    </row>
    <row r="267" spans="8:8" ht="15.75" customHeight="1">
      <c r="H267" s="712"/>
    </row>
    <row r="268" spans="8:8" ht="15.75" customHeight="1">
      <c r="H268" s="712"/>
    </row>
    <row r="269" spans="8:8" ht="15.75" customHeight="1">
      <c r="H269" s="712"/>
    </row>
    <row r="270" spans="8:8" ht="15.75" customHeight="1">
      <c r="H270" s="712"/>
    </row>
    <row r="271" spans="8:8" ht="15.75" customHeight="1">
      <c r="H271" s="712"/>
    </row>
    <row r="272" spans="8:8" ht="15.75" customHeight="1">
      <c r="H272" s="712"/>
    </row>
    <row r="273" spans="8:8" ht="15.75" customHeight="1">
      <c r="H273" s="712"/>
    </row>
    <row r="274" spans="8:8" ht="15.75" customHeight="1">
      <c r="H274" s="712"/>
    </row>
    <row r="275" spans="8:8" ht="15.75" customHeight="1">
      <c r="H275" s="712"/>
    </row>
    <row r="276" spans="8:8" ht="15.75" customHeight="1">
      <c r="H276" s="712"/>
    </row>
    <row r="277" spans="8:8" ht="15.75" customHeight="1">
      <c r="H277" s="712"/>
    </row>
    <row r="278" spans="8:8" ht="15.75" customHeight="1">
      <c r="H278" s="712"/>
    </row>
    <row r="279" spans="8:8" ht="15.75" customHeight="1">
      <c r="H279" s="712"/>
    </row>
    <row r="280" spans="8:8" ht="15.75" customHeight="1">
      <c r="H280" s="712"/>
    </row>
    <row r="281" spans="8:8" ht="15.75" customHeight="1">
      <c r="H281" s="712"/>
    </row>
    <row r="282" spans="8:8" ht="15.75" customHeight="1">
      <c r="H282" s="712"/>
    </row>
    <row r="283" spans="8:8" ht="15.75" customHeight="1">
      <c r="H283" s="712"/>
    </row>
    <row r="284" spans="8:8" ht="15.75" customHeight="1">
      <c r="H284" s="712"/>
    </row>
    <row r="285" spans="8:8" ht="15.75" customHeight="1">
      <c r="H285" s="712"/>
    </row>
    <row r="286" spans="8:8" ht="15.75" customHeight="1">
      <c r="H286" s="712"/>
    </row>
    <row r="287" spans="8:8" ht="15.75" customHeight="1">
      <c r="H287" s="712"/>
    </row>
    <row r="288" spans="8:8" ht="15.75" customHeight="1">
      <c r="H288" s="712"/>
    </row>
    <row r="289" spans="8:8" ht="15.75" customHeight="1">
      <c r="H289" s="712"/>
    </row>
    <row r="290" spans="8:8" ht="15.75" customHeight="1">
      <c r="H290" s="712"/>
    </row>
    <row r="291" spans="8:8" ht="15.75" customHeight="1">
      <c r="H291" s="345"/>
    </row>
    <row r="292" spans="8:8" ht="15.75" customHeight="1">
      <c r="H292" s="345"/>
    </row>
    <row r="293" spans="8:8" ht="15.75" customHeight="1">
      <c r="H293" s="345"/>
    </row>
    <row r="294" spans="8:8" ht="15.75" customHeight="1">
      <c r="H294" s="345"/>
    </row>
    <row r="295" spans="8:8" ht="15.75" customHeight="1">
      <c r="H295" s="345"/>
    </row>
    <row r="296" spans="8:8" ht="15.75" customHeight="1">
      <c r="H296" s="345"/>
    </row>
    <row r="297" spans="8:8" ht="15.75" customHeight="1">
      <c r="H297" s="345"/>
    </row>
    <row r="298" spans="8:8" ht="15.75" customHeight="1">
      <c r="H298" s="345"/>
    </row>
    <row r="299" spans="8:8" ht="15.75" customHeight="1">
      <c r="H299" s="345"/>
    </row>
    <row r="300" spans="8:8" ht="15.75" customHeight="1">
      <c r="H300" s="345"/>
    </row>
    <row r="301" spans="8:8" ht="15.75" customHeight="1">
      <c r="H301" s="345"/>
    </row>
    <row r="302" spans="8:8" ht="15.75" customHeight="1">
      <c r="H302" s="345"/>
    </row>
    <row r="303" spans="8:8" ht="15.75" customHeight="1">
      <c r="H303" s="345"/>
    </row>
    <row r="304" spans="8:8" ht="15.75" customHeight="1">
      <c r="H304" s="345"/>
    </row>
    <row r="305" spans="8:8" ht="15.75" customHeight="1">
      <c r="H305" s="345"/>
    </row>
    <row r="306" spans="8:8" ht="15.75" customHeight="1">
      <c r="H306" s="345"/>
    </row>
    <row r="307" spans="8:8" ht="15.75" customHeight="1">
      <c r="H307" s="345"/>
    </row>
    <row r="308" spans="8:8" ht="15.75" customHeight="1">
      <c r="H308" s="345"/>
    </row>
    <row r="309" spans="8:8" ht="15.75" customHeight="1">
      <c r="H309" s="345"/>
    </row>
    <row r="310" spans="8:8" ht="15.75" customHeight="1">
      <c r="H310" s="345"/>
    </row>
    <row r="311" spans="8:8" ht="15.75" customHeight="1">
      <c r="H311" s="345"/>
    </row>
    <row r="312" spans="8:8" ht="15.75" customHeight="1">
      <c r="H312" s="345"/>
    </row>
    <row r="313" spans="8:8" ht="15.75" customHeight="1">
      <c r="H313" s="345"/>
    </row>
    <row r="314" spans="8:8" ht="15.75" customHeight="1">
      <c r="H314" s="345"/>
    </row>
    <row r="315" spans="8:8" ht="15.75" customHeight="1">
      <c r="H315" s="345"/>
    </row>
    <row r="316" spans="8:8" ht="15.75" customHeight="1">
      <c r="H316" s="345"/>
    </row>
  </sheetData>
  <mergeCells count="2">
    <mergeCell ref="B2:F2"/>
    <mergeCell ref="G2:I2"/>
  </mergeCells>
  <phoneticPr fontId="45" type="noConversion"/>
  <dataValidations count="2">
    <dataValidation allowBlank="1" sqref="B5 B167:D172 B164:C166 B60:C63 B69:C72 B74:C76 B94:C99 B101:C109 B121:C121 C132 B152:C154 B156:C158 B160:D160 B162:D162 I60:I62 C44:C58 D7 I28 D163:D166 B80:C92 D161 B8:D21 I19:I21 I40 B129:B132 C129:C130 B111:C117 B123:C127 B42:B58 C42 B134:C139 B23:C40 D23:D159" xr:uid="{37B953CF-D144-42C2-86CA-DB2CA7035629}"/>
    <dataValidation type="list" errorStyle="warning" allowBlank="1" showInputMessage="1" showErrorMessage="1" sqref="H143:H149 H72" xr:uid="{A61D23DC-5F40-48A8-8C32-9DB2D1B0869D}">
      <formula1>$H$8:$H$169</formula1>
    </dataValidation>
  </dataValidations>
  <hyperlinks>
    <hyperlink ref="A1" location="'TABLE OF CONTENTS'!A1" display="INDEX" xr:uid="{0F7BF696-28E1-4DAF-AB20-22621895BD5D}"/>
  </hyperlinks>
  <pageMargins left="0.7" right="0.7" top="0.75" bottom="0.75" header="0.3" footer="0.3"/>
  <pageSetup scale="35" fitToHeight="0" orientation="landscape" r:id="rId1"/>
  <tableParts count="1">
    <tablePart r:id="rId2"/>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198A5-7DA1-4B89-B708-9DF3CE2251CB}">
  <sheetPr codeName="Sheet41">
    <tabColor rgb="FFFFFF00"/>
    <outlinePr summaryBelow="0" summaryRight="0"/>
  </sheetPr>
  <dimension ref="A1:L13"/>
  <sheetViews>
    <sheetView workbookViewId="0"/>
  </sheetViews>
  <sheetFormatPr defaultColWidth="12.5703125" defaultRowHeight="15.75" customHeight="1"/>
  <cols>
    <col min="1" max="2" width="12.5703125" style="546"/>
    <col min="3" max="4" width="47" style="546" customWidth="1"/>
    <col min="5" max="5" width="21.7109375" style="546" customWidth="1"/>
    <col min="6" max="7" width="13.5703125" style="546" customWidth="1"/>
    <col min="8" max="8" width="14" style="546" customWidth="1"/>
    <col min="9" max="16384" width="12.5703125" style="546"/>
  </cols>
  <sheetData>
    <row r="1" spans="1:12" ht="15.75" customHeight="1">
      <c r="A1" s="59" t="s">
        <v>1650</v>
      </c>
      <c r="C1" s="546" t="s">
        <v>1071</v>
      </c>
    </row>
    <row r="2" spans="1:12" ht="15.75" customHeight="1">
      <c r="B2" s="547" t="s">
        <v>658</v>
      </c>
      <c r="C2" s="547" t="s">
        <v>29</v>
      </c>
      <c r="D2" s="547" t="s">
        <v>659</v>
      </c>
      <c r="E2" s="547" t="s">
        <v>208</v>
      </c>
      <c r="F2" s="547" t="s">
        <v>209</v>
      </c>
      <c r="G2" s="547" t="s">
        <v>210</v>
      </c>
      <c r="H2" s="547" t="s">
        <v>211</v>
      </c>
      <c r="L2" s="548" t="s">
        <v>0</v>
      </c>
    </row>
    <row r="3" spans="1:12" ht="15.75" customHeight="1">
      <c r="B3" s="546" t="s">
        <v>1117</v>
      </c>
      <c r="C3" s="546" t="s">
        <v>1118</v>
      </c>
      <c r="D3" s="546" t="str">
        <f>CONCATENATE(CTRL_V[[#This Row],[CODE]]," ",CTRL_V[[#This Row],[NAME]])</f>
        <v xml:space="preserve">L-1000 Level One Bank </v>
      </c>
      <c r="E3" s="691" t="s">
        <v>1126</v>
      </c>
      <c r="F3" s="691" t="s">
        <v>1127</v>
      </c>
      <c r="H3" s="548">
        <v>48226</v>
      </c>
      <c r="L3" s="548"/>
    </row>
    <row r="4" spans="1:12" ht="15.75" customHeight="1">
      <c r="B4" s="548" t="s">
        <v>213</v>
      </c>
      <c r="C4" s="548" t="s">
        <v>1111</v>
      </c>
      <c r="D4" s="548" t="str">
        <f>CONCATENATE(CTRL_V[[#This Row],[CODE]]," ",CTRL_V[[#This Row],[NAME]])</f>
        <v>E-1000 Eastern Market Wholesale</v>
      </c>
      <c r="E4" s="691" t="s">
        <v>1122</v>
      </c>
      <c r="F4" s="546" t="s">
        <v>1119</v>
      </c>
      <c r="H4" s="548">
        <v>48207</v>
      </c>
    </row>
    <row r="5" spans="1:12" ht="15.75" customHeight="1">
      <c r="B5" s="546" t="s">
        <v>1113</v>
      </c>
      <c r="C5" s="546" t="s">
        <v>1114</v>
      </c>
      <c r="D5" s="546" t="str">
        <f>CONCATENATE(CTRL_V[[#This Row],[CODE]]," ",CTRL_V[[#This Row],[NAME]])</f>
        <v>G-1002 Great Lakes Gas</v>
      </c>
      <c r="E5" s="691" t="s">
        <v>1124</v>
      </c>
      <c r="F5" s="546" t="s">
        <v>1119</v>
      </c>
      <c r="H5" s="548">
        <v>48226</v>
      </c>
    </row>
    <row r="6" spans="1:12" ht="15.75" customHeight="1">
      <c r="B6" s="546" t="s">
        <v>1115</v>
      </c>
      <c r="C6" s="546" t="s">
        <v>1116</v>
      </c>
      <c r="D6" s="546" t="str">
        <f>CONCATENATE(CTRL_V[[#This Row],[CODE]]," ",CTRL_V[[#This Row],[NAME]])</f>
        <v xml:space="preserve">R-1099 Rock Security </v>
      </c>
      <c r="E6" s="691" t="s">
        <v>1125</v>
      </c>
      <c r="F6" s="546" t="s">
        <v>1119</v>
      </c>
      <c r="H6" s="548">
        <v>48201</v>
      </c>
      <c r="J6" s="548"/>
      <c r="K6" s="548"/>
      <c r="L6" s="548"/>
    </row>
    <row r="7" spans="1:12" ht="15.75" customHeight="1">
      <c r="B7" s="548" t="s">
        <v>213</v>
      </c>
      <c r="C7" s="548" t="s">
        <v>214</v>
      </c>
      <c r="D7" s="548" t="str">
        <f>CONCATENATE(CTRL_V[[#This Row],[CODE]]," ",CTRL_V[[#This Row],[NAME]])</f>
        <v>E-1000 EZ Ledgers Inc.</v>
      </c>
      <c r="E7" s="548" t="s">
        <v>1128</v>
      </c>
      <c r="F7" s="546" t="s">
        <v>1119</v>
      </c>
      <c r="H7" s="548">
        <v>48207</v>
      </c>
    </row>
    <row r="8" spans="1:12" ht="15.75" customHeight="1">
      <c r="B8" s="546" t="s">
        <v>180</v>
      </c>
      <c r="C8" s="692" t="s">
        <v>662</v>
      </c>
      <c r="D8" s="692" t="str">
        <f>CONCATENATE(CTRL_V[[#This Row],[CODE]]," ",CTRL_V[[#This Row],[NAME]])</f>
        <v>K-2000 KEYSTONE PROPERTIES INC.</v>
      </c>
      <c r="E8" s="546" t="s">
        <v>1129</v>
      </c>
      <c r="F8" s="546" t="s">
        <v>1121</v>
      </c>
      <c r="H8" s="548">
        <v>48237</v>
      </c>
    </row>
    <row r="9" spans="1:12" ht="15.75" customHeight="1">
      <c r="B9" s="548" t="s">
        <v>174</v>
      </c>
      <c r="C9" s="548" t="s">
        <v>663</v>
      </c>
      <c r="D9" s="548" t="str">
        <f>CONCATENATE(CTRL_V[[#This Row],[CODE]]," ",CTRL_V[[#This Row],[NAME]])</f>
        <v>M-1000 Mastercard</v>
      </c>
      <c r="E9" s="691" t="s">
        <v>1133</v>
      </c>
      <c r="F9" s="691" t="s">
        <v>1132</v>
      </c>
      <c r="H9" s="548" t="s">
        <v>1134</v>
      </c>
    </row>
    <row r="10" spans="1:12" ht="15.75" customHeight="1">
      <c r="B10" s="548" t="s">
        <v>174</v>
      </c>
      <c r="C10" s="548" t="s">
        <v>1112</v>
      </c>
      <c r="D10" s="548" t="str">
        <f>CONCATENATE(CTRL_V[[#This Row],[CODE]]," ",CTRL_V[[#This Row],[NAME]])</f>
        <v>M-1000 Motor City Beverage Company</v>
      </c>
      <c r="E10" s="691" t="s">
        <v>1123</v>
      </c>
      <c r="F10" s="546" t="s">
        <v>1119</v>
      </c>
      <c r="H10" s="548">
        <v>48207</v>
      </c>
    </row>
    <row r="11" spans="1:12" ht="15.75" customHeight="1">
      <c r="B11" s="548" t="s">
        <v>178</v>
      </c>
      <c r="C11" s="548" t="s">
        <v>1110</v>
      </c>
      <c r="D11" s="548" t="str">
        <f>CONCATENATE(CTRL_V[[#This Row],[CODE]]," ",CTRL_V[[#This Row],[NAME]])</f>
        <v xml:space="preserve">S-1000 Sysco </v>
      </c>
      <c r="E11" s="691" t="s">
        <v>1120</v>
      </c>
      <c r="F11" s="546" t="s">
        <v>1121</v>
      </c>
      <c r="H11" s="548">
        <v>48237</v>
      </c>
    </row>
    <row r="12" spans="1:12" ht="15.75" customHeight="1">
      <c r="B12" s="548" t="s">
        <v>664</v>
      </c>
      <c r="C12" s="549" t="s">
        <v>665</v>
      </c>
      <c r="D12" s="548" t="str">
        <f>CONCATENATE(CTRL_V[[#This Row],[CODE]]," ",CTRL_V[[#This Row],[NAME]])</f>
        <v>V-1000 Visa</v>
      </c>
      <c r="E12" s="548" t="s">
        <v>666</v>
      </c>
      <c r="F12" s="691" t="s">
        <v>1130</v>
      </c>
      <c r="H12" s="548" t="s">
        <v>1131</v>
      </c>
    </row>
    <row r="13" spans="1:12" ht="15.75" customHeight="1">
      <c r="D13" s="546" t="str">
        <f>CONCATENATE(CTRL_V[[#This Row],[CODE]]," ",CTRL_V[[#This Row],[NAME]])</f>
        <v xml:space="preserve"> </v>
      </c>
    </row>
  </sheetData>
  <hyperlinks>
    <hyperlink ref="A1" location="'TABLE OF CONTENTS'!A1" display="INDEX" xr:uid="{EEB950DF-6ACF-4420-9FE9-638114380B19}"/>
  </hyperlinks>
  <pageMargins left="0.7" right="0.7" top="0.75" bottom="0.75" header="0.3" footer="0.3"/>
  <pageSetup orientation="portrait" r:id="rId1"/>
  <tableParts count="1">
    <tablePart r:id="rId2"/>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12946-4147-4B56-A8AB-A6DA98E72729}">
  <sheetPr codeName="Sheet46">
    <tabColor rgb="FFFFFF00"/>
  </sheetPr>
  <dimension ref="A1:E232"/>
  <sheetViews>
    <sheetView zoomScale="98" zoomScaleNormal="98" workbookViewId="0">
      <pane ySplit="6" topLeftCell="A7" activePane="bottomLeft" state="frozen"/>
      <selection activeCell="BK177" sqref="BK177"/>
      <selection pane="bottomLeft"/>
    </sheetView>
  </sheetViews>
  <sheetFormatPr defaultColWidth="9.140625" defaultRowHeight="15.75" customHeight="1"/>
  <cols>
    <col min="1" max="1" width="14.85546875" style="667" bestFit="1" customWidth="1"/>
    <col min="2" max="3" width="10.42578125" style="662" customWidth="1"/>
    <col min="4" max="4" width="11.85546875" style="662" customWidth="1"/>
    <col min="5" max="10" width="11.5703125" style="662" customWidth="1"/>
    <col min="11" max="16384" width="9.140625" style="662"/>
  </cols>
  <sheetData>
    <row r="1" spans="1:5" ht="15.75" customHeight="1">
      <c r="A1" s="59" t="s">
        <v>1650</v>
      </c>
      <c r="C1" s="662" t="s">
        <v>1072</v>
      </c>
    </row>
    <row r="2" spans="1:5" s="362" customFormat="1" ht="12.75">
      <c r="A2" s="663"/>
    </row>
    <row r="3" spans="1:5" s="362" customFormat="1" ht="12.75">
      <c r="A3" s="663"/>
      <c r="B3" s="664" t="s">
        <v>865</v>
      </c>
      <c r="C3" s="665"/>
      <c r="D3" s="665"/>
    </row>
    <row r="4" spans="1:5" s="362" customFormat="1" ht="12.75">
      <c r="A4" s="663"/>
      <c r="B4" s="664" t="s">
        <v>866</v>
      </c>
      <c r="C4" s="665"/>
      <c r="D4" s="665"/>
    </row>
    <row r="5" spans="1:5" s="362" customFormat="1" ht="12.75">
      <c r="A5" s="663"/>
      <c r="B5" s="663"/>
      <c r="C5" s="663"/>
      <c r="D5" s="663"/>
      <c r="E5" s="663"/>
    </row>
    <row r="6" spans="1:5" s="362" customFormat="1" ht="13.5" thickBot="1">
      <c r="A6" s="663"/>
      <c r="B6" s="666" t="s">
        <v>33</v>
      </c>
      <c r="C6" s="666" t="s">
        <v>867</v>
      </c>
      <c r="D6" s="666" t="s">
        <v>868</v>
      </c>
    </row>
    <row r="7" spans="1:5" ht="15.75" customHeight="1">
      <c r="B7" s="668" t="str">
        <f t="shared" ref="B7:B72" si="0">HYPERLINK(CONCATENATE($B$4,D7),"C")</f>
        <v>C</v>
      </c>
      <c r="C7" s="668" t="str">
        <f t="shared" ref="C7:C72" si="1">HYPERLINK(CONCATENATE($B$3,D7),"Y")</f>
        <v>Y</v>
      </c>
      <c r="D7" s="662" t="s">
        <v>869</v>
      </c>
    </row>
    <row r="8" spans="1:5" ht="15.75" customHeight="1">
      <c r="B8" s="668" t="s">
        <v>0</v>
      </c>
      <c r="C8" s="668" t="s">
        <v>0</v>
      </c>
      <c r="D8" s="662" t="s">
        <v>1020</v>
      </c>
    </row>
    <row r="9" spans="1:5" ht="15.75" customHeight="1">
      <c r="B9" s="668" t="str">
        <f t="shared" si="0"/>
        <v>C</v>
      </c>
      <c r="C9" s="668" t="str">
        <f t="shared" si="1"/>
        <v>Y</v>
      </c>
      <c r="D9" s="662" t="s">
        <v>870</v>
      </c>
    </row>
    <row r="10" spans="1:5" ht="15.75" customHeight="1">
      <c r="B10" s="668" t="str">
        <f t="shared" si="0"/>
        <v>C</v>
      </c>
      <c r="C10" s="668" t="str">
        <f t="shared" si="1"/>
        <v>Y</v>
      </c>
      <c r="D10" s="662" t="s">
        <v>871</v>
      </c>
    </row>
    <row r="11" spans="1:5" ht="15.75" customHeight="1">
      <c r="B11" s="668" t="str">
        <f t="shared" si="0"/>
        <v>C</v>
      </c>
      <c r="C11" s="668" t="str">
        <f t="shared" si="1"/>
        <v>Y</v>
      </c>
      <c r="D11" s="662" t="s">
        <v>872</v>
      </c>
    </row>
    <row r="12" spans="1:5" ht="15.75" customHeight="1">
      <c r="B12" s="668" t="str">
        <f t="shared" si="0"/>
        <v>C</v>
      </c>
      <c r="C12" s="668" t="str">
        <f t="shared" si="1"/>
        <v>Y</v>
      </c>
      <c r="D12" s="662" t="s">
        <v>826</v>
      </c>
    </row>
    <row r="13" spans="1:5" ht="15.75" customHeight="1">
      <c r="B13" s="668" t="str">
        <f t="shared" si="0"/>
        <v>C</v>
      </c>
      <c r="C13" s="668" t="str">
        <f t="shared" si="1"/>
        <v>Y</v>
      </c>
      <c r="D13" s="662" t="s">
        <v>1016</v>
      </c>
    </row>
    <row r="14" spans="1:5" ht="15.75" customHeight="1">
      <c r="B14" s="668" t="str">
        <f t="shared" si="0"/>
        <v>C</v>
      </c>
      <c r="C14" s="668" t="str">
        <f t="shared" si="1"/>
        <v>Y</v>
      </c>
      <c r="D14" s="662" t="s">
        <v>873</v>
      </c>
    </row>
    <row r="15" spans="1:5" ht="15.75" customHeight="1">
      <c r="B15" s="668" t="str">
        <f t="shared" si="0"/>
        <v>C</v>
      </c>
      <c r="C15" s="668" t="str">
        <f t="shared" si="1"/>
        <v>Y</v>
      </c>
      <c r="D15" s="662" t="s">
        <v>874</v>
      </c>
    </row>
    <row r="16" spans="1:5" ht="15.75" customHeight="1">
      <c r="B16" s="668" t="str">
        <f t="shared" si="0"/>
        <v>C</v>
      </c>
      <c r="C16" s="668" t="str">
        <f t="shared" si="1"/>
        <v>Y</v>
      </c>
      <c r="D16" s="662" t="s">
        <v>875</v>
      </c>
    </row>
    <row r="17" spans="2:4" ht="15.75" customHeight="1">
      <c r="B17" s="668" t="str">
        <f t="shared" si="0"/>
        <v>C</v>
      </c>
      <c r="C17" s="668" t="str">
        <f t="shared" si="1"/>
        <v>Y</v>
      </c>
      <c r="D17" s="662" t="s">
        <v>876</v>
      </c>
    </row>
    <row r="18" spans="2:4" ht="15.75" customHeight="1">
      <c r="B18" s="668" t="str">
        <f t="shared" si="0"/>
        <v>C</v>
      </c>
      <c r="C18" s="668" t="str">
        <f t="shared" si="1"/>
        <v>Y</v>
      </c>
      <c r="D18" s="662" t="s">
        <v>877</v>
      </c>
    </row>
    <row r="19" spans="2:4" ht="15.75" customHeight="1">
      <c r="B19" s="668" t="str">
        <f t="shared" si="0"/>
        <v>C</v>
      </c>
      <c r="C19" s="668" t="str">
        <f t="shared" si="1"/>
        <v>Y</v>
      </c>
      <c r="D19" s="662" t="s">
        <v>878</v>
      </c>
    </row>
    <row r="20" spans="2:4" ht="15.75" customHeight="1">
      <c r="B20" s="668" t="str">
        <f t="shared" si="0"/>
        <v>C</v>
      </c>
      <c r="C20" s="668" t="str">
        <f t="shared" si="1"/>
        <v>Y</v>
      </c>
      <c r="D20" s="662" t="s">
        <v>879</v>
      </c>
    </row>
    <row r="21" spans="2:4" ht="15.75" customHeight="1">
      <c r="B21" s="668" t="str">
        <f t="shared" si="0"/>
        <v>C</v>
      </c>
      <c r="C21" s="668" t="str">
        <f t="shared" si="1"/>
        <v>Y</v>
      </c>
      <c r="D21" s="662" t="s">
        <v>880</v>
      </c>
    </row>
    <row r="22" spans="2:4" ht="15.75" customHeight="1">
      <c r="B22" s="668" t="str">
        <f t="shared" si="0"/>
        <v>C</v>
      </c>
      <c r="C22" s="668" t="str">
        <f t="shared" si="1"/>
        <v>Y</v>
      </c>
      <c r="D22" s="662" t="s">
        <v>881</v>
      </c>
    </row>
    <row r="23" spans="2:4" ht="15.75" customHeight="1">
      <c r="B23" s="668" t="str">
        <f t="shared" si="0"/>
        <v>C</v>
      </c>
      <c r="C23" s="668" t="str">
        <f t="shared" si="1"/>
        <v>Y</v>
      </c>
      <c r="D23" s="662" t="s">
        <v>882</v>
      </c>
    </row>
    <row r="24" spans="2:4" ht="15.75" customHeight="1">
      <c r="B24" s="668" t="str">
        <f t="shared" si="0"/>
        <v>C</v>
      </c>
      <c r="C24" s="668" t="str">
        <f t="shared" si="1"/>
        <v>Y</v>
      </c>
      <c r="D24" s="662" t="s">
        <v>883</v>
      </c>
    </row>
    <row r="25" spans="2:4" ht="15.75" customHeight="1">
      <c r="B25" s="668" t="str">
        <f t="shared" si="0"/>
        <v>C</v>
      </c>
      <c r="C25" s="668" t="str">
        <f t="shared" si="1"/>
        <v>Y</v>
      </c>
      <c r="D25" s="662" t="s">
        <v>876</v>
      </c>
    </row>
    <row r="26" spans="2:4" ht="15.75" customHeight="1">
      <c r="B26" s="668" t="str">
        <f t="shared" si="0"/>
        <v>C</v>
      </c>
      <c r="C26" s="668" t="str">
        <f t="shared" si="1"/>
        <v>Y</v>
      </c>
      <c r="D26" s="662" t="s">
        <v>884</v>
      </c>
    </row>
    <row r="27" spans="2:4" ht="15.75" customHeight="1">
      <c r="B27" s="668" t="str">
        <f t="shared" si="0"/>
        <v>C</v>
      </c>
      <c r="C27" s="668" t="str">
        <f t="shared" si="1"/>
        <v>Y</v>
      </c>
      <c r="D27" s="662" t="s">
        <v>885</v>
      </c>
    </row>
    <row r="28" spans="2:4" ht="15.75" customHeight="1">
      <c r="B28" s="668" t="str">
        <f t="shared" si="0"/>
        <v>C</v>
      </c>
      <c r="C28" s="668" t="str">
        <f t="shared" si="1"/>
        <v>Y</v>
      </c>
      <c r="D28" s="662" t="s">
        <v>886</v>
      </c>
    </row>
    <row r="29" spans="2:4" ht="15.75" customHeight="1">
      <c r="B29" s="668" t="str">
        <f t="shared" si="0"/>
        <v>C</v>
      </c>
      <c r="C29" s="668" t="str">
        <f t="shared" si="1"/>
        <v>Y</v>
      </c>
      <c r="D29" s="662" t="s">
        <v>887</v>
      </c>
    </row>
    <row r="30" spans="2:4" ht="15.75" customHeight="1">
      <c r="B30" s="668" t="str">
        <f t="shared" si="0"/>
        <v>C</v>
      </c>
      <c r="C30" s="668" t="str">
        <f t="shared" si="1"/>
        <v>Y</v>
      </c>
      <c r="D30" s="662" t="s">
        <v>768</v>
      </c>
    </row>
    <row r="31" spans="2:4" ht="15.75" customHeight="1">
      <c r="B31" s="668" t="str">
        <f t="shared" si="0"/>
        <v>C</v>
      </c>
      <c r="C31" s="668" t="str">
        <f t="shared" si="1"/>
        <v>Y</v>
      </c>
      <c r="D31" s="662" t="s">
        <v>888</v>
      </c>
    </row>
    <row r="32" spans="2:4" ht="15.75" customHeight="1">
      <c r="B32" s="668" t="str">
        <f t="shared" si="0"/>
        <v>C</v>
      </c>
      <c r="C32" s="668" t="str">
        <f t="shared" si="1"/>
        <v>Y</v>
      </c>
      <c r="D32" s="662" t="s">
        <v>769</v>
      </c>
    </row>
    <row r="33" spans="2:4" ht="15.75" customHeight="1">
      <c r="B33" s="668" t="str">
        <f t="shared" si="0"/>
        <v>C</v>
      </c>
      <c r="C33" s="668" t="str">
        <f t="shared" si="1"/>
        <v>Y</v>
      </c>
      <c r="D33" s="662" t="s">
        <v>889</v>
      </c>
    </row>
    <row r="34" spans="2:4" ht="15.75" customHeight="1">
      <c r="B34" s="668" t="str">
        <f t="shared" si="0"/>
        <v>C</v>
      </c>
      <c r="C34" s="668" t="str">
        <f t="shared" si="1"/>
        <v>Y</v>
      </c>
      <c r="D34" s="662" t="s">
        <v>890</v>
      </c>
    </row>
    <row r="35" spans="2:4" ht="15.75" customHeight="1">
      <c r="B35" s="668" t="str">
        <f t="shared" si="0"/>
        <v>C</v>
      </c>
      <c r="C35" s="668" t="str">
        <f t="shared" si="1"/>
        <v>Y</v>
      </c>
      <c r="D35" s="662" t="s">
        <v>891</v>
      </c>
    </row>
    <row r="36" spans="2:4" ht="15.75" customHeight="1">
      <c r="B36" s="668" t="str">
        <f t="shared" si="0"/>
        <v>C</v>
      </c>
      <c r="C36" s="668" t="str">
        <f t="shared" si="1"/>
        <v>Y</v>
      </c>
      <c r="D36" s="662" t="s">
        <v>803</v>
      </c>
    </row>
    <row r="37" spans="2:4" ht="15.75" customHeight="1">
      <c r="B37" s="668" t="str">
        <f t="shared" si="0"/>
        <v>C</v>
      </c>
      <c r="C37" s="668" t="str">
        <f t="shared" si="1"/>
        <v>Y</v>
      </c>
      <c r="D37" s="662" t="s">
        <v>892</v>
      </c>
    </row>
    <row r="38" spans="2:4" ht="15.75" customHeight="1">
      <c r="B38" s="668" t="str">
        <f t="shared" si="0"/>
        <v>C</v>
      </c>
      <c r="C38" s="668" t="str">
        <f t="shared" si="1"/>
        <v>Y</v>
      </c>
      <c r="D38" s="662" t="s">
        <v>893</v>
      </c>
    </row>
    <row r="39" spans="2:4" ht="15.75" customHeight="1">
      <c r="B39" s="668" t="str">
        <f t="shared" si="0"/>
        <v>C</v>
      </c>
      <c r="C39" s="668" t="str">
        <f t="shared" si="1"/>
        <v>Y</v>
      </c>
      <c r="D39" s="662" t="s">
        <v>894</v>
      </c>
    </row>
    <row r="40" spans="2:4" ht="15.75" customHeight="1">
      <c r="B40" s="668" t="str">
        <f t="shared" si="0"/>
        <v>C</v>
      </c>
      <c r="C40" s="668" t="str">
        <f t="shared" si="1"/>
        <v>Y</v>
      </c>
      <c r="D40" s="662" t="s">
        <v>895</v>
      </c>
    </row>
    <row r="41" spans="2:4" ht="15.75" customHeight="1">
      <c r="B41" s="668" t="str">
        <f t="shared" si="0"/>
        <v>C</v>
      </c>
      <c r="C41" s="668" t="str">
        <f t="shared" si="1"/>
        <v>Y</v>
      </c>
      <c r="D41" s="662" t="s">
        <v>896</v>
      </c>
    </row>
    <row r="42" spans="2:4" ht="15.75" customHeight="1">
      <c r="B42" s="668" t="str">
        <f t="shared" si="0"/>
        <v>C</v>
      </c>
      <c r="C42" s="668" t="str">
        <f t="shared" si="1"/>
        <v>Y</v>
      </c>
      <c r="D42" s="662" t="s">
        <v>897</v>
      </c>
    </row>
    <row r="43" spans="2:4" ht="15.75" customHeight="1">
      <c r="B43" s="668" t="str">
        <f t="shared" si="0"/>
        <v>C</v>
      </c>
      <c r="C43" s="668" t="str">
        <f t="shared" si="1"/>
        <v>Y</v>
      </c>
      <c r="D43" s="662" t="s">
        <v>898</v>
      </c>
    </row>
    <row r="44" spans="2:4" ht="15.75" customHeight="1">
      <c r="B44" s="668" t="str">
        <f t="shared" si="0"/>
        <v>C</v>
      </c>
      <c r="C44" s="668" t="str">
        <f t="shared" si="1"/>
        <v>Y</v>
      </c>
      <c r="D44" s="662" t="s">
        <v>816</v>
      </c>
    </row>
    <row r="45" spans="2:4" ht="15.75" customHeight="1">
      <c r="B45" s="668" t="str">
        <f t="shared" si="0"/>
        <v>C</v>
      </c>
      <c r="C45" s="668" t="str">
        <f t="shared" si="1"/>
        <v>Y</v>
      </c>
      <c r="D45" s="662" t="s">
        <v>783</v>
      </c>
    </row>
    <row r="46" spans="2:4" ht="15.75" customHeight="1">
      <c r="B46" s="668" t="str">
        <f t="shared" si="0"/>
        <v>C</v>
      </c>
      <c r="C46" s="668" t="str">
        <f t="shared" si="1"/>
        <v>Y</v>
      </c>
      <c r="D46" s="662" t="s">
        <v>837</v>
      </c>
    </row>
    <row r="47" spans="2:4" ht="15.75" customHeight="1">
      <c r="B47" s="668" t="str">
        <f t="shared" si="0"/>
        <v>C</v>
      </c>
      <c r="C47" s="668" t="str">
        <f t="shared" si="1"/>
        <v>Y</v>
      </c>
      <c r="D47" s="662" t="s">
        <v>831</v>
      </c>
    </row>
    <row r="48" spans="2:4" ht="15.75" customHeight="1">
      <c r="B48" s="668" t="str">
        <f t="shared" si="0"/>
        <v>C</v>
      </c>
      <c r="C48" s="668" t="str">
        <f t="shared" si="1"/>
        <v>Y</v>
      </c>
      <c r="D48" s="662" t="s">
        <v>899</v>
      </c>
    </row>
    <row r="49" spans="1:4" ht="15.75" customHeight="1">
      <c r="B49" s="669" t="str">
        <f t="shared" si="0"/>
        <v>C</v>
      </c>
      <c r="C49" s="668" t="str">
        <f t="shared" si="1"/>
        <v>Y</v>
      </c>
      <c r="D49" s="662" t="s">
        <v>900</v>
      </c>
    </row>
    <row r="50" spans="1:4" ht="15.75" customHeight="1">
      <c r="B50" s="669" t="str">
        <f t="shared" si="0"/>
        <v>C</v>
      </c>
      <c r="C50" s="668" t="str">
        <f t="shared" si="1"/>
        <v>Y</v>
      </c>
      <c r="D50" s="662" t="s">
        <v>257</v>
      </c>
    </row>
    <row r="51" spans="1:4" ht="15.75" customHeight="1">
      <c r="B51" s="668" t="str">
        <f t="shared" si="0"/>
        <v>C</v>
      </c>
      <c r="C51" s="668" t="str">
        <f t="shared" si="1"/>
        <v>Y</v>
      </c>
      <c r="D51" s="662" t="s">
        <v>823</v>
      </c>
    </row>
    <row r="52" spans="1:4" ht="15.75" customHeight="1">
      <c r="B52" s="668" t="str">
        <f t="shared" si="0"/>
        <v>C</v>
      </c>
      <c r="C52" s="668" t="str">
        <f t="shared" si="1"/>
        <v>Y</v>
      </c>
      <c r="D52" s="662" t="s">
        <v>901</v>
      </c>
    </row>
    <row r="53" spans="1:4" ht="15.75" customHeight="1">
      <c r="B53" s="668" t="str">
        <f t="shared" si="0"/>
        <v>C</v>
      </c>
      <c r="C53" s="668" t="str">
        <f t="shared" si="1"/>
        <v>Y</v>
      </c>
      <c r="D53" s="662" t="s">
        <v>811</v>
      </c>
    </row>
    <row r="54" spans="1:4" ht="15.75" customHeight="1">
      <c r="B54" s="668" t="str">
        <f t="shared" si="0"/>
        <v>C</v>
      </c>
      <c r="C54" s="668" t="str">
        <f t="shared" si="1"/>
        <v>Y</v>
      </c>
      <c r="D54" s="662" t="s">
        <v>831</v>
      </c>
    </row>
    <row r="55" spans="1:4" ht="15.75" customHeight="1">
      <c r="B55" s="668" t="str">
        <f t="shared" si="0"/>
        <v>C</v>
      </c>
      <c r="C55" s="668" t="str">
        <f t="shared" si="1"/>
        <v>Y</v>
      </c>
      <c r="D55" s="662" t="s">
        <v>771</v>
      </c>
    </row>
    <row r="56" spans="1:4" ht="15.75" customHeight="1">
      <c r="B56" s="668" t="str">
        <f t="shared" si="0"/>
        <v>C</v>
      </c>
      <c r="C56" s="668" t="str">
        <f t="shared" si="1"/>
        <v>Y</v>
      </c>
      <c r="D56" s="662" t="s">
        <v>902</v>
      </c>
    </row>
    <row r="57" spans="1:4" ht="15.75" customHeight="1">
      <c r="B57" s="668" t="str">
        <f t="shared" si="0"/>
        <v>C</v>
      </c>
      <c r="C57" s="668" t="str">
        <f t="shared" si="1"/>
        <v>Y</v>
      </c>
      <c r="D57" s="662" t="s">
        <v>903</v>
      </c>
    </row>
    <row r="58" spans="1:4" ht="15.75" customHeight="1">
      <c r="B58" s="668" t="str">
        <f t="shared" si="0"/>
        <v>C</v>
      </c>
      <c r="C58" s="668" t="str">
        <f t="shared" si="1"/>
        <v>Y</v>
      </c>
      <c r="D58" s="662" t="s">
        <v>904</v>
      </c>
    </row>
    <row r="59" spans="1:4" ht="15.75" customHeight="1">
      <c r="A59" s="667">
        <v>0</v>
      </c>
      <c r="B59" s="668" t="str">
        <f t="shared" si="0"/>
        <v>C</v>
      </c>
      <c r="C59" s="668" t="str">
        <f t="shared" si="1"/>
        <v>Y</v>
      </c>
      <c r="D59" s="662" t="s">
        <v>905</v>
      </c>
    </row>
    <row r="60" spans="1:4" ht="15.75" customHeight="1">
      <c r="B60" s="668" t="str">
        <f t="shared" si="0"/>
        <v>C</v>
      </c>
      <c r="C60" s="668" t="str">
        <f t="shared" si="1"/>
        <v>Y</v>
      </c>
      <c r="D60" s="662" t="s">
        <v>906</v>
      </c>
    </row>
    <row r="61" spans="1:4" ht="15.75" customHeight="1">
      <c r="B61" s="668" t="str">
        <f t="shared" si="0"/>
        <v>C</v>
      </c>
      <c r="C61" s="668" t="str">
        <f t="shared" si="1"/>
        <v>Y</v>
      </c>
      <c r="D61" s="662" t="s">
        <v>907</v>
      </c>
    </row>
    <row r="62" spans="1:4" ht="15.75" customHeight="1">
      <c r="B62" s="668" t="str">
        <f t="shared" si="0"/>
        <v>C</v>
      </c>
      <c r="C62" s="668" t="str">
        <f t="shared" si="1"/>
        <v>Y</v>
      </c>
      <c r="D62" s="662" t="s">
        <v>814</v>
      </c>
    </row>
    <row r="63" spans="1:4" ht="15.75" customHeight="1">
      <c r="B63" s="668" t="str">
        <f t="shared" si="0"/>
        <v>C</v>
      </c>
      <c r="C63" s="668" t="str">
        <f t="shared" si="1"/>
        <v>Y</v>
      </c>
      <c r="D63" s="662" t="s">
        <v>908</v>
      </c>
    </row>
    <row r="64" spans="1:4" ht="15.75" customHeight="1">
      <c r="B64" s="668" t="str">
        <f t="shared" si="0"/>
        <v>C</v>
      </c>
      <c r="C64" s="668" t="str">
        <f t="shared" si="1"/>
        <v>Y</v>
      </c>
      <c r="D64" s="662" t="s">
        <v>829</v>
      </c>
    </row>
    <row r="65" spans="2:4" ht="15.75" customHeight="1">
      <c r="B65" s="668" t="str">
        <f t="shared" si="0"/>
        <v>C</v>
      </c>
      <c r="C65" s="668" t="str">
        <f t="shared" si="1"/>
        <v>Y</v>
      </c>
      <c r="D65" s="662" t="s">
        <v>798</v>
      </c>
    </row>
    <row r="66" spans="2:4" ht="15.75" customHeight="1">
      <c r="B66" s="668" t="str">
        <f t="shared" si="0"/>
        <v>C</v>
      </c>
      <c r="C66" s="668" t="str">
        <f t="shared" si="1"/>
        <v>Y</v>
      </c>
      <c r="D66" s="662" t="s">
        <v>807</v>
      </c>
    </row>
    <row r="67" spans="2:4" ht="15.75" customHeight="1">
      <c r="B67" s="668" t="str">
        <f t="shared" si="0"/>
        <v>C</v>
      </c>
      <c r="C67" s="668" t="str">
        <f t="shared" si="1"/>
        <v>Y</v>
      </c>
      <c r="D67" s="662" t="s">
        <v>812</v>
      </c>
    </row>
    <row r="68" spans="2:4" ht="15.75" customHeight="1">
      <c r="B68" s="668" t="str">
        <f t="shared" si="0"/>
        <v>C</v>
      </c>
      <c r="C68" s="668" t="str">
        <f t="shared" si="1"/>
        <v>Y</v>
      </c>
      <c r="D68" s="662" t="s">
        <v>799</v>
      </c>
    </row>
    <row r="69" spans="2:4" ht="15.75" customHeight="1">
      <c r="B69" s="668" t="str">
        <f t="shared" si="0"/>
        <v>C</v>
      </c>
      <c r="C69" s="668" t="str">
        <f t="shared" si="1"/>
        <v>Y</v>
      </c>
      <c r="D69" s="662" t="s">
        <v>909</v>
      </c>
    </row>
    <row r="70" spans="2:4" ht="15.75" customHeight="1">
      <c r="B70" s="668" t="str">
        <f t="shared" si="0"/>
        <v>C</v>
      </c>
      <c r="C70" s="668" t="str">
        <f t="shared" si="1"/>
        <v>Y</v>
      </c>
      <c r="D70" s="662" t="s">
        <v>910</v>
      </c>
    </row>
    <row r="71" spans="2:4" ht="15.75" customHeight="1">
      <c r="B71" s="668" t="str">
        <f t="shared" si="0"/>
        <v>C</v>
      </c>
      <c r="C71" s="668" t="str">
        <f t="shared" si="1"/>
        <v>Y</v>
      </c>
      <c r="D71" s="662" t="s">
        <v>33</v>
      </c>
    </row>
    <row r="72" spans="2:4" ht="15.75" customHeight="1">
      <c r="B72" s="668" t="str">
        <f t="shared" si="0"/>
        <v>C</v>
      </c>
      <c r="C72" s="668" t="str">
        <f t="shared" si="1"/>
        <v>Y</v>
      </c>
      <c r="D72" s="662" t="s">
        <v>827</v>
      </c>
    </row>
    <row r="73" spans="2:4" ht="15.75" customHeight="1">
      <c r="B73" s="668" t="str">
        <f t="shared" ref="B73:B96" si="2">HYPERLINK(CONCATENATE($B$4,D73),"C")</f>
        <v>C</v>
      </c>
      <c r="C73" s="668" t="str">
        <f t="shared" ref="C73:C96" si="3">HYPERLINK(CONCATENATE($B$3,D73),"Y")</f>
        <v>Y</v>
      </c>
      <c r="D73" s="662" t="s">
        <v>911</v>
      </c>
    </row>
    <row r="74" spans="2:4" ht="15.75" customHeight="1">
      <c r="B74" s="668" t="str">
        <f t="shared" si="2"/>
        <v>C</v>
      </c>
      <c r="C74" s="668" t="str">
        <f t="shared" si="3"/>
        <v>Y</v>
      </c>
      <c r="D74" s="662" t="s">
        <v>912</v>
      </c>
    </row>
    <row r="75" spans="2:4" ht="15.75" customHeight="1">
      <c r="B75" s="668" t="str">
        <f t="shared" si="2"/>
        <v>C</v>
      </c>
      <c r="C75" s="668" t="str">
        <f t="shared" si="3"/>
        <v>Y</v>
      </c>
      <c r="D75" s="662" t="s">
        <v>365</v>
      </c>
    </row>
    <row r="76" spans="2:4" ht="15.75" customHeight="1">
      <c r="B76" s="668" t="str">
        <f t="shared" si="2"/>
        <v>C</v>
      </c>
      <c r="C76" s="668" t="str">
        <f t="shared" si="3"/>
        <v>Y</v>
      </c>
      <c r="D76" s="662" t="s">
        <v>779</v>
      </c>
    </row>
    <row r="77" spans="2:4" ht="15.75" customHeight="1">
      <c r="B77" s="668" t="str">
        <f t="shared" si="2"/>
        <v>C</v>
      </c>
      <c r="C77" s="668" t="str">
        <f t="shared" si="3"/>
        <v>Y</v>
      </c>
      <c r="D77" s="662" t="s">
        <v>913</v>
      </c>
    </row>
    <row r="78" spans="2:4" ht="15.75" customHeight="1">
      <c r="B78" s="668" t="str">
        <f t="shared" si="2"/>
        <v>C</v>
      </c>
      <c r="C78" s="668" t="str">
        <f t="shared" si="3"/>
        <v>Y</v>
      </c>
      <c r="D78" s="662" t="s">
        <v>806</v>
      </c>
    </row>
    <row r="79" spans="2:4" ht="15.75" customHeight="1">
      <c r="B79" s="668" t="str">
        <f t="shared" si="2"/>
        <v>C</v>
      </c>
      <c r="C79" s="668" t="str">
        <f t="shared" si="3"/>
        <v>Y</v>
      </c>
      <c r="D79" s="662" t="s">
        <v>914</v>
      </c>
    </row>
    <row r="80" spans="2:4" ht="15.75" customHeight="1">
      <c r="B80" s="669" t="str">
        <f t="shared" si="2"/>
        <v>C</v>
      </c>
      <c r="C80" s="668" t="str">
        <f t="shared" si="3"/>
        <v>Y</v>
      </c>
      <c r="D80" s="662" t="s">
        <v>255</v>
      </c>
    </row>
    <row r="81" spans="2:4" ht="15.75" customHeight="1">
      <c r="B81" s="668" t="str">
        <f t="shared" si="2"/>
        <v>C</v>
      </c>
      <c r="C81" s="668" t="str">
        <f t="shared" si="3"/>
        <v>Y</v>
      </c>
      <c r="D81" s="662" t="s">
        <v>815</v>
      </c>
    </row>
    <row r="82" spans="2:4" ht="15.75" customHeight="1">
      <c r="B82" s="668" t="str">
        <f t="shared" si="2"/>
        <v>C</v>
      </c>
      <c r="C82" s="668" t="str">
        <f t="shared" si="3"/>
        <v>Y</v>
      </c>
      <c r="D82" s="662" t="s">
        <v>773</v>
      </c>
    </row>
    <row r="83" spans="2:4" ht="15.75" customHeight="1">
      <c r="B83" s="668" t="str">
        <f t="shared" si="2"/>
        <v>C</v>
      </c>
      <c r="C83" s="668" t="str">
        <f t="shared" si="3"/>
        <v>Y</v>
      </c>
      <c r="D83" s="662" t="s">
        <v>775</v>
      </c>
    </row>
    <row r="84" spans="2:4" ht="15.75" customHeight="1">
      <c r="B84" s="668" t="str">
        <f t="shared" si="2"/>
        <v>C</v>
      </c>
      <c r="C84" s="668" t="str">
        <f t="shared" si="3"/>
        <v>Y</v>
      </c>
      <c r="D84" s="662" t="s">
        <v>915</v>
      </c>
    </row>
    <row r="85" spans="2:4" ht="15.75" customHeight="1">
      <c r="B85" s="668" t="str">
        <f t="shared" si="2"/>
        <v>C</v>
      </c>
      <c r="C85" s="668" t="str">
        <f t="shared" si="3"/>
        <v>Y</v>
      </c>
      <c r="D85" s="662" t="s">
        <v>800</v>
      </c>
    </row>
    <row r="86" spans="2:4" ht="15.75" customHeight="1">
      <c r="B86" s="668" t="str">
        <f t="shared" si="2"/>
        <v>C</v>
      </c>
      <c r="C86" s="668" t="str">
        <f t="shared" si="3"/>
        <v>Y</v>
      </c>
      <c r="D86" s="662" t="s">
        <v>916</v>
      </c>
    </row>
    <row r="87" spans="2:4" ht="15.75" customHeight="1">
      <c r="B87" s="668" t="str">
        <f t="shared" si="2"/>
        <v>C</v>
      </c>
      <c r="C87" s="668" t="str">
        <f t="shared" si="3"/>
        <v>Y</v>
      </c>
      <c r="D87" s="662" t="s">
        <v>917</v>
      </c>
    </row>
    <row r="88" spans="2:4" ht="15.75" customHeight="1">
      <c r="B88" s="668" t="str">
        <f t="shared" si="2"/>
        <v>C</v>
      </c>
      <c r="C88" s="668" t="str">
        <f t="shared" si="3"/>
        <v>Y</v>
      </c>
      <c r="D88" s="662" t="s">
        <v>918</v>
      </c>
    </row>
    <row r="89" spans="2:4" ht="15.75" customHeight="1">
      <c r="B89" s="668" t="str">
        <f t="shared" si="2"/>
        <v>C</v>
      </c>
      <c r="C89" s="668" t="str">
        <f t="shared" si="3"/>
        <v>Y</v>
      </c>
      <c r="D89" s="662" t="s">
        <v>787</v>
      </c>
    </row>
    <row r="90" spans="2:4" ht="15.75" customHeight="1">
      <c r="B90" s="668" t="str">
        <f t="shared" si="2"/>
        <v>C</v>
      </c>
      <c r="C90" s="668" t="str">
        <f t="shared" si="3"/>
        <v>Y</v>
      </c>
      <c r="D90" s="662" t="s">
        <v>919</v>
      </c>
    </row>
    <row r="91" spans="2:4" ht="15.75" customHeight="1">
      <c r="B91" s="668" t="str">
        <f t="shared" si="2"/>
        <v>C</v>
      </c>
      <c r="C91" s="668" t="str">
        <f t="shared" si="3"/>
        <v>Y</v>
      </c>
      <c r="D91" s="662" t="s">
        <v>920</v>
      </c>
    </row>
    <row r="92" spans="2:4" ht="15.75" customHeight="1">
      <c r="B92" s="668" t="str">
        <f t="shared" si="2"/>
        <v>C</v>
      </c>
      <c r="C92" s="668" t="str">
        <f t="shared" si="3"/>
        <v>Y</v>
      </c>
      <c r="D92" s="662" t="s">
        <v>921</v>
      </c>
    </row>
    <row r="93" spans="2:4" ht="15.75" customHeight="1">
      <c r="B93" s="668" t="str">
        <f t="shared" si="2"/>
        <v>C</v>
      </c>
      <c r="C93" s="668" t="str">
        <f t="shared" si="3"/>
        <v>Y</v>
      </c>
      <c r="D93" s="662" t="s">
        <v>922</v>
      </c>
    </row>
    <row r="94" spans="2:4" ht="15.75" customHeight="1">
      <c r="B94" s="668" t="str">
        <f t="shared" si="2"/>
        <v>C</v>
      </c>
      <c r="C94" s="668" t="str">
        <f t="shared" si="3"/>
        <v>Y</v>
      </c>
      <c r="D94" s="662" t="s">
        <v>923</v>
      </c>
    </row>
    <row r="95" spans="2:4" ht="15.75" customHeight="1">
      <c r="B95" s="669" t="str">
        <f t="shared" si="2"/>
        <v>C</v>
      </c>
      <c r="C95" s="668" t="str">
        <f t="shared" si="3"/>
        <v>Y</v>
      </c>
      <c r="D95" s="662" t="s">
        <v>924</v>
      </c>
    </row>
    <row r="96" spans="2:4" ht="15.75" customHeight="1">
      <c r="B96" s="669" t="str">
        <f t="shared" si="2"/>
        <v>C</v>
      </c>
      <c r="C96" s="668" t="str">
        <f t="shared" si="3"/>
        <v>Y</v>
      </c>
      <c r="D96" s="662" t="s">
        <v>925</v>
      </c>
    </row>
    <row r="97" spans="2:4" ht="15.75" customHeight="1">
      <c r="B97" s="669"/>
      <c r="C97" s="668"/>
      <c r="D97" s="662" t="s">
        <v>926</v>
      </c>
    </row>
    <row r="98" spans="2:4" ht="15.75" customHeight="1">
      <c r="B98" s="668" t="str">
        <f t="shared" ref="B98:B167" si="4">HYPERLINK(CONCATENATE($B$4,D98),"C")</f>
        <v>C</v>
      </c>
      <c r="C98" s="668" t="str">
        <f t="shared" ref="C98:C167" si="5">HYPERLINK(CONCATENATE($B$3,D98),"Y")</f>
        <v>Y</v>
      </c>
      <c r="D98" s="662" t="s">
        <v>927</v>
      </c>
    </row>
    <row r="99" spans="2:4" ht="15.75" customHeight="1">
      <c r="B99" s="668" t="str">
        <f t="shared" si="4"/>
        <v>C</v>
      </c>
      <c r="C99" s="668" t="str">
        <f t="shared" si="5"/>
        <v>Y</v>
      </c>
      <c r="D99" s="662" t="s">
        <v>928</v>
      </c>
    </row>
    <row r="100" spans="2:4" ht="15.75" customHeight="1">
      <c r="B100" s="668" t="str">
        <f t="shared" si="4"/>
        <v>C</v>
      </c>
      <c r="C100" s="668" t="str">
        <f t="shared" si="5"/>
        <v>Y</v>
      </c>
      <c r="D100" s="662" t="s">
        <v>929</v>
      </c>
    </row>
    <row r="101" spans="2:4" ht="15.75" customHeight="1">
      <c r="B101" s="668" t="str">
        <f t="shared" si="4"/>
        <v>C</v>
      </c>
      <c r="C101" s="668" t="str">
        <f t="shared" si="5"/>
        <v>Y</v>
      </c>
      <c r="D101" s="662" t="s">
        <v>930</v>
      </c>
    </row>
    <row r="102" spans="2:4" ht="15.75" customHeight="1">
      <c r="B102" s="668" t="str">
        <f t="shared" si="4"/>
        <v>C</v>
      </c>
      <c r="C102" s="668" t="str">
        <f t="shared" si="5"/>
        <v>Y</v>
      </c>
      <c r="D102" s="662" t="s">
        <v>785</v>
      </c>
    </row>
    <row r="103" spans="2:4" ht="15.75" customHeight="1">
      <c r="B103" s="668" t="str">
        <f t="shared" si="4"/>
        <v>C</v>
      </c>
      <c r="C103" s="668" t="str">
        <f t="shared" si="5"/>
        <v>Y</v>
      </c>
      <c r="D103" s="662" t="s">
        <v>931</v>
      </c>
    </row>
    <row r="104" spans="2:4" ht="15.75" customHeight="1">
      <c r="B104" s="668" t="str">
        <f t="shared" si="4"/>
        <v>C</v>
      </c>
      <c r="C104" s="668" t="str">
        <f t="shared" si="5"/>
        <v>Y</v>
      </c>
      <c r="D104" s="662" t="s">
        <v>932</v>
      </c>
    </row>
    <row r="105" spans="2:4" ht="15.75" customHeight="1">
      <c r="B105" s="668" t="str">
        <f t="shared" si="4"/>
        <v>C</v>
      </c>
      <c r="C105" s="668" t="str">
        <f t="shared" si="5"/>
        <v>Y</v>
      </c>
      <c r="D105" s="662" t="s">
        <v>933</v>
      </c>
    </row>
    <row r="106" spans="2:4" ht="15.75" customHeight="1">
      <c r="B106" s="668" t="str">
        <f t="shared" si="4"/>
        <v>C</v>
      </c>
      <c r="C106" s="668" t="str">
        <f t="shared" si="5"/>
        <v>Y</v>
      </c>
      <c r="D106" s="662" t="s">
        <v>934</v>
      </c>
    </row>
    <row r="107" spans="2:4" ht="15.75" customHeight="1">
      <c r="B107" s="668" t="str">
        <f t="shared" si="4"/>
        <v>C</v>
      </c>
      <c r="C107" s="668" t="str">
        <f t="shared" si="5"/>
        <v>Y</v>
      </c>
      <c r="D107" s="662" t="s">
        <v>797</v>
      </c>
    </row>
    <row r="108" spans="2:4" ht="15.75" customHeight="1">
      <c r="B108" s="668" t="str">
        <f t="shared" si="4"/>
        <v>C</v>
      </c>
      <c r="C108" s="668" t="str">
        <f t="shared" si="5"/>
        <v>Y</v>
      </c>
      <c r="D108" s="662" t="s">
        <v>935</v>
      </c>
    </row>
    <row r="109" spans="2:4" ht="15.75" customHeight="1">
      <c r="B109" s="668" t="str">
        <f t="shared" si="4"/>
        <v>C</v>
      </c>
      <c r="C109" s="668" t="str">
        <f t="shared" si="5"/>
        <v>Y</v>
      </c>
      <c r="D109" s="662" t="s">
        <v>936</v>
      </c>
    </row>
    <row r="110" spans="2:4" ht="15.75" customHeight="1">
      <c r="B110" s="668" t="str">
        <f t="shared" si="4"/>
        <v>C</v>
      </c>
      <c r="C110" s="668" t="str">
        <f t="shared" si="5"/>
        <v>Y</v>
      </c>
      <c r="D110" s="662" t="s">
        <v>937</v>
      </c>
    </row>
    <row r="111" spans="2:4" ht="15.75" customHeight="1">
      <c r="B111" s="668" t="str">
        <f t="shared" si="4"/>
        <v>C</v>
      </c>
      <c r="C111" s="668" t="str">
        <f t="shared" si="5"/>
        <v>Y</v>
      </c>
      <c r="D111" s="662" t="s">
        <v>938</v>
      </c>
    </row>
    <row r="112" spans="2:4" ht="15.75" customHeight="1">
      <c r="B112" s="668" t="str">
        <f t="shared" si="4"/>
        <v>C</v>
      </c>
      <c r="C112" s="668" t="str">
        <f t="shared" si="5"/>
        <v>Y</v>
      </c>
      <c r="D112" s="662" t="s">
        <v>939</v>
      </c>
    </row>
    <row r="113" spans="2:4" ht="15.75" customHeight="1">
      <c r="B113" s="668" t="str">
        <f t="shared" si="4"/>
        <v>C</v>
      </c>
      <c r="C113" s="668" t="str">
        <f t="shared" si="5"/>
        <v>Y</v>
      </c>
      <c r="D113" s="662" t="s">
        <v>940</v>
      </c>
    </row>
    <row r="114" spans="2:4" ht="15.75" customHeight="1">
      <c r="B114" s="668" t="str">
        <f t="shared" si="4"/>
        <v>C</v>
      </c>
      <c r="C114" s="668" t="str">
        <f t="shared" si="5"/>
        <v>Y</v>
      </c>
      <c r="D114" s="662" t="s">
        <v>941</v>
      </c>
    </row>
    <row r="115" spans="2:4" ht="15.75" customHeight="1">
      <c r="B115" s="668" t="str">
        <f t="shared" si="4"/>
        <v>C</v>
      </c>
      <c r="C115" s="668" t="str">
        <f t="shared" si="5"/>
        <v>Y</v>
      </c>
      <c r="D115" s="662" t="s">
        <v>835</v>
      </c>
    </row>
    <row r="116" spans="2:4" ht="15.75" customHeight="1">
      <c r="B116" s="668" t="str">
        <f t="shared" si="4"/>
        <v>C</v>
      </c>
      <c r="C116" s="668" t="str">
        <f t="shared" si="5"/>
        <v>Y</v>
      </c>
      <c r="D116" s="662" t="s">
        <v>942</v>
      </c>
    </row>
    <row r="117" spans="2:4" ht="15.75" customHeight="1">
      <c r="B117" s="668" t="str">
        <f t="shared" si="4"/>
        <v>C</v>
      </c>
      <c r="C117" s="668" t="str">
        <f t="shared" si="5"/>
        <v>Y</v>
      </c>
      <c r="D117" s="662" t="s">
        <v>943</v>
      </c>
    </row>
    <row r="118" spans="2:4" ht="15.75" customHeight="1">
      <c r="B118" s="668" t="str">
        <f t="shared" si="4"/>
        <v>C</v>
      </c>
      <c r="C118" s="669" t="str">
        <f t="shared" si="5"/>
        <v>Y</v>
      </c>
      <c r="D118" s="662" t="s">
        <v>944</v>
      </c>
    </row>
    <row r="119" spans="2:4" ht="15.75" customHeight="1">
      <c r="B119" s="668" t="str">
        <f t="shared" si="4"/>
        <v>C</v>
      </c>
      <c r="C119" s="668" t="str">
        <f t="shared" si="5"/>
        <v>Y</v>
      </c>
      <c r="D119" s="662" t="s">
        <v>945</v>
      </c>
    </row>
    <row r="120" spans="2:4" ht="15.75" customHeight="1">
      <c r="B120" s="668" t="str">
        <f t="shared" si="4"/>
        <v>C</v>
      </c>
      <c r="C120" s="668" t="str">
        <f t="shared" si="5"/>
        <v>Y</v>
      </c>
      <c r="D120" s="662" t="s">
        <v>946</v>
      </c>
    </row>
    <row r="121" spans="2:4" ht="15.75" customHeight="1">
      <c r="B121" s="668" t="str">
        <f t="shared" si="4"/>
        <v>C</v>
      </c>
      <c r="C121" s="668" t="str">
        <f t="shared" si="5"/>
        <v>Y</v>
      </c>
      <c r="D121" s="662" t="s">
        <v>947</v>
      </c>
    </row>
    <row r="122" spans="2:4" ht="15.75" customHeight="1">
      <c r="B122" s="668" t="str">
        <f t="shared" si="4"/>
        <v>C</v>
      </c>
      <c r="C122" s="668" t="str">
        <f t="shared" si="5"/>
        <v>Y</v>
      </c>
      <c r="D122" s="662" t="s">
        <v>821</v>
      </c>
    </row>
    <row r="123" spans="2:4" ht="15.75" customHeight="1">
      <c r="B123" s="668" t="str">
        <f t="shared" si="4"/>
        <v>C</v>
      </c>
      <c r="C123" s="668" t="str">
        <f t="shared" si="5"/>
        <v>Y</v>
      </c>
      <c r="D123" s="662" t="s">
        <v>948</v>
      </c>
    </row>
    <row r="124" spans="2:4" ht="15.75" customHeight="1">
      <c r="B124" s="668" t="str">
        <f t="shared" si="4"/>
        <v>C</v>
      </c>
      <c r="C124" s="668" t="str">
        <f t="shared" si="5"/>
        <v>Y</v>
      </c>
      <c r="D124" s="662" t="s">
        <v>949</v>
      </c>
    </row>
    <row r="125" spans="2:4" ht="15.75" customHeight="1">
      <c r="B125" s="668" t="str">
        <f t="shared" si="4"/>
        <v>C</v>
      </c>
      <c r="C125" s="668" t="str">
        <f t="shared" si="5"/>
        <v>Y</v>
      </c>
      <c r="D125" s="662" t="s">
        <v>777</v>
      </c>
    </row>
    <row r="126" spans="2:4" ht="15.75" customHeight="1">
      <c r="B126" s="668" t="str">
        <f t="shared" si="4"/>
        <v>C</v>
      </c>
      <c r="C126" s="668" t="str">
        <f t="shared" si="5"/>
        <v>Y</v>
      </c>
      <c r="D126" s="662" t="s">
        <v>950</v>
      </c>
    </row>
    <row r="127" spans="2:4" ht="15.75" customHeight="1">
      <c r="B127" s="668" t="str">
        <f t="shared" si="4"/>
        <v>C</v>
      </c>
      <c r="C127" s="668" t="str">
        <f t="shared" si="5"/>
        <v>Y</v>
      </c>
      <c r="D127" s="662" t="s">
        <v>950</v>
      </c>
    </row>
    <row r="128" spans="2:4" ht="15.75" customHeight="1">
      <c r="B128" s="668" t="str">
        <f t="shared" si="4"/>
        <v>C</v>
      </c>
      <c r="C128" s="668" t="str">
        <f t="shared" si="5"/>
        <v>Y</v>
      </c>
      <c r="D128" s="662" t="s">
        <v>951</v>
      </c>
    </row>
    <row r="129" spans="2:4" ht="15.75" customHeight="1">
      <c r="B129" s="668" t="str">
        <f t="shared" si="4"/>
        <v>C</v>
      </c>
      <c r="C129" s="668" t="str">
        <f t="shared" si="5"/>
        <v>Y</v>
      </c>
      <c r="D129" s="662" t="s">
        <v>952</v>
      </c>
    </row>
    <row r="130" spans="2:4" ht="15.75" customHeight="1">
      <c r="B130" s="668" t="str">
        <f t="shared" si="4"/>
        <v>C</v>
      </c>
      <c r="C130" s="668" t="str">
        <f t="shared" si="5"/>
        <v>Y</v>
      </c>
      <c r="D130" s="662" t="s">
        <v>953</v>
      </c>
    </row>
    <row r="131" spans="2:4" ht="15.75" customHeight="1">
      <c r="B131" s="668" t="str">
        <f t="shared" si="4"/>
        <v>C</v>
      </c>
      <c r="C131" s="668" t="str">
        <f t="shared" si="5"/>
        <v>Y</v>
      </c>
      <c r="D131" s="662" t="s">
        <v>954</v>
      </c>
    </row>
    <row r="132" spans="2:4" ht="15.75" customHeight="1">
      <c r="B132" s="668" t="str">
        <f t="shared" si="4"/>
        <v>C</v>
      </c>
      <c r="C132" s="668" t="str">
        <f t="shared" si="5"/>
        <v>Y</v>
      </c>
      <c r="D132" s="662" t="s">
        <v>955</v>
      </c>
    </row>
    <row r="133" spans="2:4" ht="15.75" customHeight="1">
      <c r="B133" s="668" t="str">
        <f t="shared" si="4"/>
        <v>C</v>
      </c>
      <c r="C133" s="668" t="str">
        <f t="shared" si="5"/>
        <v>Y</v>
      </c>
      <c r="D133" s="662" t="s">
        <v>956</v>
      </c>
    </row>
    <row r="134" spans="2:4" ht="15.75" customHeight="1">
      <c r="B134" s="668" t="str">
        <f t="shared" si="4"/>
        <v>C</v>
      </c>
      <c r="C134" s="668" t="str">
        <f t="shared" si="5"/>
        <v>Y</v>
      </c>
      <c r="D134" s="662" t="s">
        <v>817</v>
      </c>
    </row>
    <row r="135" spans="2:4" ht="15.75" customHeight="1">
      <c r="B135" s="668" t="str">
        <f t="shared" si="4"/>
        <v>C</v>
      </c>
      <c r="C135" s="668" t="str">
        <f t="shared" si="5"/>
        <v>Y</v>
      </c>
      <c r="D135" s="662" t="s">
        <v>818</v>
      </c>
    </row>
    <row r="136" spans="2:4" ht="15.75" customHeight="1">
      <c r="B136" s="668" t="str">
        <f t="shared" si="4"/>
        <v>C</v>
      </c>
      <c r="C136" s="668" t="str">
        <f t="shared" si="5"/>
        <v>Y</v>
      </c>
      <c r="D136" s="662" t="s">
        <v>808</v>
      </c>
    </row>
    <row r="137" spans="2:4" ht="15.75" customHeight="1">
      <c r="B137" s="668" t="str">
        <f t="shared" si="4"/>
        <v>C</v>
      </c>
      <c r="C137" s="668" t="str">
        <f t="shared" si="5"/>
        <v>Y</v>
      </c>
      <c r="D137" s="662" t="s">
        <v>836</v>
      </c>
    </row>
    <row r="138" spans="2:4" ht="15.75" customHeight="1">
      <c r="B138" s="668" t="str">
        <f t="shared" si="4"/>
        <v>C</v>
      </c>
      <c r="C138" s="668" t="str">
        <f t="shared" si="5"/>
        <v>Y</v>
      </c>
      <c r="D138" s="662" t="s">
        <v>834</v>
      </c>
    </row>
    <row r="139" spans="2:4" ht="15.75" customHeight="1">
      <c r="B139" s="668" t="str">
        <f t="shared" si="4"/>
        <v>C</v>
      </c>
      <c r="C139" s="668" t="str">
        <f t="shared" si="5"/>
        <v>Y</v>
      </c>
      <c r="D139" s="662" t="s">
        <v>957</v>
      </c>
    </row>
    <row r="140" spans="2:4" ht="15.75" customHeight="1">
      <c r="B140" s="668" t="str">
        <f t="shared" si="4"/>
        <v>C</v>
      </c>
      <c r="C140" s="668" t="str">
        <f t="shared" si="5"/>
        <v>Y</v>
      </c>
      <c r="D140" s="662" t="s">
        <v>822</v>
      </c>
    </row>
    <row r="141" spans="2:4" ht="15.75" customHeight="1">
      <c r="B141" s="668" t="str">
        <f t="shared" si="4"/>
        <v>C</v>
      </c>
      <c r="C141" s="668" t="str">
        <f t="shared" si="5"/>
        <v>Y</v>
      </c>
      <c r="D141" s="662" t="s">
        <v>810</v>
      </c>
    </row>
    <row r="142" spans="2:4" ht="15.75" customHeight="1">
      <c r="B142" s="668" t="str">
        <f t="shared" si="4"/>
        <v>C</v>
      </c>
      <c r="C142" s="668" t="str">
        <f t="shared" si="5"/>
        <v>Y</v>
      </c>
      <c r="D142" s="662" t="s">
        <v>958</v>
      </c>
    </row>
    <row r="143" spans="2:4" ht="15.75" customHeight="1">
      <c r="B143" s="668" t="str">
        <f t="shared" si="4"/>
        <v>C</v>
      </c>
      <c r="C143" s="668" t="str">
        <f t="shared" si="5"/>
        <v>Y</v>
      </c>
      <c r="D143" s="662" t="s">
        <v>959</v>
      </c>
    </row>
    <row r="144" spans="2:4" ht="15.75" customHeight="1">
      <c r="B144" s="668" t="str">
        <f t="shared" si="4"/>
        <v>C</v>
      </c>
      <c r="C144" s="668" t="str">
        <f t="shared" si="5"/>
        <v>Y</v>
      </c>
      <c r="D144" s="662" t="s">
        <v>960</v>
      </c>
    </row>
    <row r="145" spans="2:4" ht="15.75" customHeight="1">
      <c r="B145" s="668" t="str">
        <f t="shared" si="4"/>
        <v>C</v>
      </c>
      <c r="C145" s="668" t="str">
        <f t="shared" si="5"/>
        <v>Y</v>
      </c>
      <c r="D145" s="662" t="s">
        <v>961</v>
      </c>
    </row>
    <row r="146" spans="2:4" ht="15.75" customHeight="1">
      <c r="B146" s="668" t="str">
        <f t="shared" si="4"/>
        <v>C</v>
      </c>
      <c r="C146" s="668" t="str">
        <f t="shared" si="5"/>
        <v>Y</v>
      </c>
      <c r="D146" s="662" t="s">
        <v>962</v>
      </c>
    </row>
    <row r="147" spans="2:4" ht="15.75" customHeight="1">
      <c r="B147" s="668" t="str">
        <f t="shared" si="4"/>
        <v>C</v>
      </c>
      <c r="C147" s="668" t="str">
        <f t="shared" si="5"/>
        <v>Y</v>
      </c>
      <c r="D147" s="662" t="s">
        <v>819</v>
      </c>
    </row>
    <row r="148" spans="2:4" ht="15.75" customHeight="1">
      <c r="B148" s="668" t="str">
        <f t="shared" si="4"/>
        <v>C</v>
      </c>
      <c r="C148" s="668" t="str">
        <f t="shared" si="5"/>
        <v>Y</v>
      </c>
      <c r="D148" s="662" t="s">
        <v>963</v>
      </c>
    </row>
    <row r="149" spans="2:4" ht="15.75" customHeight="1">
      <c r="B149" s="668" t="str">
        <f t="shared" si="4"/>
        <v>C</v>
      </c>
      <c r="C149" s="668" t="str">
        <f t="shared" si="5"/>
        <v>Y</v>
      </c>
      <c r="D149" s="662" t="s">
        <v>964</v>
      </c>
    </row>
    <row r="150" spans="2:4" ht="15.75" customHeight="1">
      <c r="B150" s="668" t="str">
        <f t="shared" si="4"/>
        <v>C</v>
      </c>
      <c r="C150" s="668" t="str">
        <f t="shared" si="5"/>
        <v>Y</v>
      </c>
      <c r="D150" s="662" t="s">
        <v>965</v>
      </c>
    </row>
    <row r="151" spans="2:4" ht="15.75" customHeight="1">
      <c r="B151" s="668" t="str">
        <f t="shared" si="4"/>
        <v>C</v>
      </c>
      <c r="C151" s="668" t="str">
        <f t="shared" si="5"/>
        <v>Y</v>
      </c>
      <c r="D151" s="662" t="s">
        <v>794</v>
      </c>
    </row>
    <row r="152" spans="2:4" ht="15.75" customHeight="1">
      <c r="B152" s="668" t="str">
        <f t="shared" si="4"/>
        <v>C</v>
      </c>
      <c r="C152" s="669" t="str">
        <f t="shared" si="5"/>
        <v>Y</v>
      </c>
      <c r="D152" s="662" t="s">
        <v>966</v>
      </c>
    </row>
    <row r="153" spans="2:4" ht="15.75" customHeight="1">
      <c r="B153" s="668" t="str">
        <f t="shared" si="4"/>
        <v>C</v>
      </c>
      <c r="C153" s="669" t="str">
        <f t="shared" si="5"/>
        <v>Y</v>
      </c>
      <c r="D153" s="662" t="s">
        <v>967</v>
      </c>
    </row>
    <row r="154" spans="2:4" ht="15.75" customHeight="1">
      <c r="B154" s="668" t="str">
        <f t="shared" si="4"/>
        <v>C</v>
      </c>
      <c r="C154" s="668" t="str">
        <f t="shared" si="5"/>
        <v>Y</v>
      </c>
      <c r="D154" s="662" t="s">
        <v>813</v>
      </c>
    </row>
    <row r="155" spans="2:4" ht="15.75" customHeight="1">
      <c r="B155" s="668" t="str">
        <f t="shared" si="4"/>
        <v>C</v>
      </c>
      <c r="C155" s="668" t="str">
        <f t="shared" si="5"/>
        <v>Y</v>
      </c>
      <c r="D155" s="662" t="s">
        <v>968</v>
      </c>
    </row>
    <row r="156" spans="2:4" ht="15.75" customHeight="1">
      <c r="B156" s="668" t="str">
        <f t="shared" si="4"/>
        <v>C</v>
      </c>
      <c r="C156" s="668" t="str">
        <f t="shared" si="5"/>
        <v>Y</v>
      </c>
      <c r="D156" s="662" t="s">
        <v>776</v>
      </c>
    </row>
    <row r="157" spans="2:4" ht="15.75" customHeight="1">
      <c r="B157" s="668" t="str">
        <f t="shared" si="4"/>
        <v>C</v>
      </c>
      <c r="C157" s="668" t="str">
        <f t="shared" si="5"/>
        <v>Y</v>
      </c>
      <c r="D157" s="662" t="s">
        <v>778</v>
      </c>
    </row>
    <row r="158" spans="2:4" ht="15.75" customHeight="1">
      <c r="B158" s="668" t="str">
        <f t="shared" si="4"/>
        <v>C</v>
      </c>
      <c r="C158" s="668" t="str">
        <f t="shared" si="5"/>
        <v>Y</v>
      </c>
      <c r="D158" s="662" t="s">
        <v>969</v>
      </c>
    </row>
    <row r="159" spans="2:4" ht="15.75" customHeight="1">
      <c r="B159" s="668" t="str">
        <f t="shared" si="4"/>
        <v>C</v>
      </c>
      <c r="C159" s="668" t="str">
        <f t="shared" si="5"/>
        <v>Y</v>
      </c>
      <c r="D159" s="662" t="s">
        <v>782</v>
      </c>
    </row>
    <row r="160" spans="2:4" ht="15.75" customHeight="1">
      <c r="B160" s="668" t="str">
        <f t="shared" si="4"/>
        <v>C</v>
      </c>
      <c r="C160" s="668" t="str">
        <f t="shared" si="5"/>
        <v>Y</v>
      </c>
      <c r="D160" s="662" t="s">
        <v>970</v>
      </c>
    </row>
    <row r="161" spans="2:4" ht="15.75" customHeight="1">
      <c r="B161" s="668" t="str">
        <f t="shared" si="4"/>
        <v>C</v>
      </c>
      <c r="C161" s="668" t="str">
        <f t="shared" si="5"/>
        <v>Y</v>
      </c>
      <c r="D161" s="662" t="s">
        <v>971</v>
      </c>
    </row>
    <row r="162" spans="2:4" ht="15.75" customHeight="1">
      <c r="B162" s="668" t="str">
        <f t="shared" si="4"/>
        <v>C</v>
      </c>
      <c r="C162" s="668" t="str">
        <f t="shared" si="5"/>
        <v>Y</v>
      </c>
      <c r="D162" s="662" t="s">
        <v>972</v>
      </c>
    </row>
    <row r="163" spans="2:4" ht="15.75" customHeight="1">
      <c r="B163" s="668" t="str">
        <f t="shared" si="4"/>
        <v>C</v>
      </c>
      <c r="C163" s="668" t="str">
        <f t="shared" si="5"/>
        <v>Y</v>
      </c>
      <c r="D163" s="662" t="s">
        <v>792</v>
      </c>
    </row>
    <row r="164" spans="2:4" ht="15.75" customHeight="1">
      <c r="B164" s="668" t="str">
        <f t="shared" si="4"/>
        <v>C</v>
      </c>
      <c r="C164" s="668" t="str">
        <f t="shared" si="5"/>
        <v>Y</v>
      </c>
      <c r="D164" s="662" t="s">
        <v>790</v>
      </c>
    </row>
    <row r="165" spans="2:4" ht="15.75" customHeight="1">
      <c r="B165" s="668" t="str">
        <f t="shared" si="4"/>
        <v>C</v>
      </c>
      <c r="C165" s="668" t="str">
        <f t="shared" si="5"/>
        <v>Y</v>
      </c>
      <c r="D165" s="662" t="s">
        <v>789</v>
      </c>
    </row>
    <row r="166" spans="2:4" ht="15.75" customHeight="1">
      <c r="B166" s="668" t="str">
        <f t="shared" si="4"/>
        <v>C</v>
      </c>
      <c r="C166" s="668" t="str">
        <f t="shared" si="5"/>
        <v>Y</v>
      </c>
      <c r="D166" s="662" t="s">
        <v>791</v>
      </c>
    </row>
    <row r="167" spans="2:4" ht="15.75" customHeight="1">
      <c r="B167" s="668" t="str">
        <f t="shared" si="4"/>
        <v>C</v>
      </c>
      <c r="C167" s="668" t="str">
        <f t="shared" si="5"/>
        <v>Y</v>
      </c>
      <c r="D167" s="662" t="s">
        <v>780</v>
      </c>
    </row>
    <row r="168" spans="2:4" ht="15.75" customHeight="1">
      <c r="B168" s="668" t="str">
        <f t="shared" ref="B168:B228" si="6">HYPERLINK(CONCATENATE($B$4,D168),"C")</f>
        <v>C</v>
      </c>
      <c r="C168" s="668" t="str">
        <f t="shared" ref="C168:C228" si="7">HYPERLINK(CONCATENATE($B$3,D168),"Y")</f>
        <v>Y</v>
      </c>
      <c r="D168" s="662" t="s">
        <v>973</v>
      </c>
    </row>
    <row r="169" spans="2:4" ht="15.75" customHeight="1">
      <c r="B169" s="668" t="str">
        <f t="shared" si="6"/>
        <v>C</v>
      </c>
      <c r="C169" s="668" t="str">
        <f t="shared" si="7"/>
        <v>Y</v>
      </c>
      <c r="D169" s="662" t="s">
        <v>801</v>
      </c>
    </row>
    <row r="170" spans="2:4" ht="15.75" customHeight="1">
      <c r="B170" s="668" t="str">
        <f t="shared" si="6"/>
        <v>C</v>
      </c>
      <c r="C170" s="668" t="str">
        <f t="shared" si="7"/>
        <v>Y</v>
      </c>
      <c r="D170" s="662" t="s">
        <v>974</v>
      </c>
    </row>
    <row r="171" spans="2:4" ht="15.75" customHeight="1">
      <c r="B171" s="668" t="str">
        <f t="shared" si="6"/>
        <v>C</v>
      </c>
      <c r="C171" s="668" t="str">
        <f t="shared" si="7"/>
        <v>Y</v>
      </c>
      <c r="D171" s="662" t="s">
        <v>975</v>
      </c>
    </row>
    <row r="172" spans="2:4" ht="15.75" customHeight="1">
      <c r="B172" s="668" t="str">
        <f t="shared" si="6"/>
        <v>C</v>
      </c>
      <c r="C172" s="668" t="str">
        <f t="shared" si="7"/>
        <v>Y</v>
      </c>
      <c r="D172" s="662" t="s">
        <v>788</v>
      </c>
    </row>
    <row r="173" spans="2:4" ht="15.75" customHeight="1">
      <c r="B173" s="668" t="str">
        <f t="shared" si="6"/>
        <v>C</v>
      </c>
      <c r="C173" s="668" t="str">
        <f t="shared" si="7"/>
        <v>Y</v>
      </c>
      <c r="D173" s="662" t="s">
        <v>825</v>
      </c>
    </row>
    <row r="174" spans="2:4" ht="15.75" customHeight="1">
      <c r="B174" s="668" t="str">
        <f t="shared" si="6"/>
        <v>C</v>
      </c>
      <c r="C174" s="668" t="str">
        <f t="shared" si="7"/>
        <v>Y</v>
      </c>
      <c r="D174" s="662" t="s">
        <v>820</v>
      </c>
    </row>
    <row r="175" spans="2:4" ht="15.75" customHeight="1">
      <c r="B175" s="668" t="str">
        <f t="shared" si="6"/>
        <v>C</v>
      </c>
      <c r="C175" s="668" t="str">
        <f t="shared" si="7"/>
        <v>Y</v>
      </c>
      <c r="D175" s="662" t="s">
        <v>804</v>
      </c>
    </row>
    <row r="176" spans="2:4" ht="15.75" customHeight="1">
      <c r="B176" s="668" t="str">
        <f t="shared" si="6"/>
        <v>C</v>
      </c>
      <c r="C176" s="668" t="str">
        <f t="shared" si="7"/>
        <v>Y</v>
      </c>
      <c r="D176" s="662" t="s">
        <v>976</v>
      </c>
    </row>
    <row r="177" spans="2:4" ht="15.75" customHeight="1">
      <c r="B177" s="668" t="str">
        <f t="shared" si="6"/>
        <v>C</v>
      </c>
      <c r="C177" s="668" t="str">
        <f t="shared" si="7"/>
        <v>Y</v>
      </c>
      <c r="D177" s="662" t="s">
        <v>832</v>
      </c>
    </row>
    <row r="178" spans="2:4" ht="15.75" customHeight="1">
      <c r="B178" s="668" t="str">
        <f t="shared" si="6"/>
        <v>C</v>
      </c>
      <c r="C178" s="668" t="str">
        <f t="shared" si="7"/>
        <v>Y</v>
      </c>
      <c r="D178" s="662" t="s">
        <v>977</v>
      </c>
    </row>
    <row r="179" spans="2:4" ht="15.75" customHeight="1">
      <c r="B179" s="668" t="str">
        <f t="shared" si="6"/>
        <v>C</v>
      </c>
      <c r="C179" s="668" t="str">
        <f t="shared" si="7"/>
        <v>Y</v>
      </c>
      <c r="D179" s="662" t="s">
        <v>978</v>
      </c>
    </row>
    <row r="180" spans="2:4" ht="15.75" customHeight="1">
      <c r="B180" s="668" t="str">
        <f t="shared" si="6"/>
        <v>C</v>
      </c>
      <c r="C180" s="668" t="str">
        <f t="shared" si="7"/>
        <v>Y</v>
      </c>
      <c r="D180" s="662" t="s">
        <v>979</v>
      </c>
    </row>
    <row r="181" spans="2:4" ht="15.75" customHeight="1">
      <c r="B181" s="668" t="str">
        <f t="shared" si="6"/>
        <v>C</v>
      </c>
      <c r="C181" s="668" t="str">
        <f t="shared" si="7"/>
        <v>Y</v>
      </c>
      <c r="D181" s="662" t="s">
        <v>980</v>
      </c>
    </row>
    <row r="182" spans="2:4" ht="15.75" customHeight="1">
      <c r="B182" s="668" t="str">
        <f t="shared" si="6"/>
        <v>C</v>
      </c>
      <c r="C182" s="668" t="str">
        <f t="shared" si="7"/>
        <v>Y</v>
      </c>
      <c r="D182" s="662" t="s">
        <v>981</v>
      </c>
    </row>
    <row r="183" spans="2:4" ht="15.75" customHeight="1">
      <c r="B183" s="668" t="str">
        <f t="shared" si="6"/>
        <v>C</v>
      </c>
      <c r="C183" s="668" t="str">
        <f t="shared" si="7"/>
        <v>Y</v>
      </c>
      <c r="D183" s="662" t="s">
        <v>982</v>
      </c>
    </row>
    <row r="184" spans="2:4" ht="15.75" customHeight="1">
      <c r="B184" s="668" t="str">
        <f t="shared" si="6"/>
        <v>C</v>
      </c>
      <c r="C184" s="668" t="str">
        <f t="shared" si="7"/>
        <v>Y</v>
      </c>
      <c r="D184" s="662" t="s">
        <v>983</v>
      </c>
    </row>
    <row r="185" spans="2:4" ht="15.75" customHeight="1">
      <c r="B185" s="668" t="str">
        <f t="shared" si="6"/>
        <v>C</v>
      </c>
      <c r="C185" s="668" t="str">
        <f t="shared" si="7"/>
        <v>Y</v>
      </c>
      <c r="D185" s="662" t="s">
        <v>984</v>
      </c>
    </row>
    <row r="186" spans="2:4" ht="15.75" customHeight="1">
      <c r="B186" s="668" t="str">
        <f t="shared" si="6"/>
        <v>C</v>
      </c>
      <c r="C186" s="668" t="str">
        <f t="shared" si="7"/>
        <v>Y</v>
      </c>
      <c r="D186" s="662" t="s">
        <v>985</v>
      </c>
    </row>
    <row r="187" spans="2:4" ht="15.75" customHeight="1">
      <c r="B187" s="668" t="str">
        <f t="shared" si="6"/>
        <v>C</v>
      </c>
      <c r="C187" s="668" t="str">
        <f t="shared" si="7"/>
        <v>Y</v>
      </c>
      <c r="D187" s="662" t="s">
        <v>986</v>
      </c>
    </row>
    <row r="188" spans="2:4" ht="15.75" customHeight="1">
      <c r="B188" s="668" t="str">
        <f t="shared" si="6"/>
        <v>C</v>
      </c>
      <c r="C188" s="668" t="str">
        <f t="shared" si="7"/>
        <v>Y</v>
      </c>
      <c r="D188" s="662" t="s">
        <v>987</v>
      </c>
    </row>
    <row r="189" spans="2:4" ht="15.75" customHeight="1">
      <c r="B189" s="668" t="str">
        <f t="shared" si="6"/>
        <v>C</v>
      </c>
      <c r="C189" s="668" t="str">
        <f t="shared" si="7"/>
        <v>Y</v>
      </c>
      <c r="D189" s="662" t="s">
        <v>988</v>
      </c>
    </row>
    <row r="190" spans="2:4" ht="15.75" customHeight="1">
      <c r="B190" s="668" t="str">
        <f t="shared" si="6"/>
        <v>C</v>
      </c>
      <c r="C190" s="668" t="str">
        <f t="shared" si="7"/>
        <v>Y</v>
      </c>
      <c r="D190" s="662" t="s">
        <v>989</v>
      </c>
    </row>
    <row r="191" spans="2:4" ht="15.75" customHeight="1">
      <c r="B191" s="668" t="str">
        <f t="shared" si="6"/>
        <v>C</v>
      </c>
      <c r="C191" s="668" t="str">
        <f t="shared" si="7"/>
        <v>Y</v>
      </c>
      <c r="D191" s="662" t="s">
        <v>990</v>
      </c>
    </row>
    <row r="192" spans="2:4" ht="15.75" customHeight="1">
      <c r="B192" s="668" t="str">
        <f t="shared" si="6"/>
        <v>C</v>
      </c>
      <c r="C192" s="668" t="str">
        <f t="shared" si="7"/>
        <v>Y</v>
      </c>
      <c r="D192" s="662" t="s">
        <v>793</v>
      </c>
    </row>
    <row r="193" spans="2:4" ht="15.75" customHeight="1">
      <c r="B193" s="668" t="str">
        <f t="shared" si="6"/>
        <v>C</v>
      </c>
      <c r="C193" s="668" t="str">
        <f t="shared" si="7"/>
        <v>Y</v>
      </c>
      <c r="D193" s="662" t="s">
        <v>991</v>
      </c>
    </row>
    <row r="194" spans="2:4" ht="15.75" customHeight="1">
      <c r="B194" s="668" t="str">
        <f t="shared" si="6"/>
        <v>C</v>
      </c>
      <c r="C194" s="668" t="str">
        <f t="shared" si="7"/>
        <v>Y</v>
      </c>
      <c r="D194" s="662" t="s">
        <v>992</v>
      </c>
    </row>
    <row r="195" spans="2:4" ht="15.75" customHeight="1">
      <c r="B195" s="668" t="str">
        <f t="shared" si="6"/>
        <v>C</v>
      </c>
      <c r="C195" s="668" t="str">
        <f t="shared" si="7"/>
        <v>Y</v>
      </c>
      <c r="D195" s="662" t="s">
        <v>802</v>
      </c>
    </row>
    <row r="196" spans="2:4" ht="15.75" customHeight="1">
      <c r="B196" s="668" t="str">
        <f t="shared" si="6"/>
        <v>C</v>
      </c>
      <c r="C196" s="668" t="str">
        <f t="shared" si="7"/>
        <v>Y</v>
      </c>
      <c r="D196" s="662" t="s">
        <v>993</v>
      </c>
    </row>
    <row r="197" spans="2:4" ht="15.75" customHeight="1">
      <c r="B197" s="668" t="str">
        <f t="shared" si="6"/>
        <v>C</v>
      </c>
      <c r="C197" s="668" t="str">
        <f t="shared" si="7"/>
        <v>Y</v>
      </c>
      <c r="D197" s="662" t="s">
        <v>994</v>
      </c>
    </row>
    <row r="198" spans="2:4" ht="15.75" customHeight="1">
      <c r="B198" s="668" t="str">
        <f t="shared" si="6"/>
        <v>C</v>
      </c>
      <c r="C198" s="668" t="str">
        <f t="shared" si="7"/>
        <v>Y</v>
      </c>
      <c r="D198" s="662" t="s">
        <v>995</v>
      </c>
    </row>
    <row r="199" spans="2:4" ht="15.75" customHeight="1">
      <c r="B199" s="668" t="str">
        <f t="shared" si="6"/>
        <v>C</v>
      </c>
      <c r="C199" s="668" t="str">
        <f t="shared" si="7"/>
        <v>Y</v>
      </c>
      <c r="D199" s="662" t="s">
        <v>996</v>
      </c>
    </row>
    <row r="200" spans="2:4" ht="15.75" customHeight="1">
      <c r="B200" s="668" t="str">
        <f t="shared" si="6"/>
        <v>C</v>
      </c>
      <c r="C200" s="668" t="str">
        <f t="shared" si="7"/>
        <v>Y</v>
      </c>
      <c r="D200" s="662" t="s">
        <v>805</v>
      </c>
    </row>
    <row r="201" spans="2:4" ht="15.75" customHeight="1">
      <c r="B201" s="668" t="str">
        <f t="shared" si="6"/>
        <v>C</v>
      </c>
      <c r="C201" s="668" t="str">
        <f t="shared" si="7"/>
        <v>Y</v>
      </c>
      <c r="D201" s="662" t="s">
        <v>997</v>
      </c>
    </row>
    <row r="202" spans="2:4" ht="15.75" customHeight="1">
      <c r="B202" s="668" t="str">
        <f t="shared" si="6"/>
        <v>C</v>
      </c>
      <c r="C202" s="668" t="str">
        <f t="shared" si="7"/>
        <v>Y</v>
      </c>
      <c r="D202" s="662" t="s">
        <v>998</v>
      </c>
    </row>
    <row r="203" spans="2:4" ht="15.75" customHeight="1">
      <c r="B203" s="668" t="str">
        <f t="shared" si="6"/>
        <v>C</v>
      </c>
      <c r="C203" s="668" t="str">
        <f t="shared" si="7"/>
        <v>Y</v>
      </c>
      <c r="D203" s="662" t="s">
        <v>999</v>
      </c>
    </row>
    <row r="204" spans="2:4" ht="15.75" customHeight="1">
      <c r="B204" s="668" t="str">
        <f t="shared" si="6"/>
        <v>C</v>
      </c>
      <c r="C204" s="668" t="str">
        <f t="shared" si="7"/>
        <v>Y</v>
      </c>
      <c r="D204" s="662" t="s">
        <v>374</v>
      </c>
    </row>
    <row r="205" spans="2:4" ht="15.75" customHeight="1">
      <c r="B205" s="668" t="str">
        <f t="shared" si="6"/>
        <v>C</v>
      </c>
      <c r="C205" s="668" t="str">
        <f t="shared" si="7"/>
        <v>Y</v>
      </c>
      <c r="D205" s="662" t="s">
        <v>1000</v>
      </c>
    </row>
    <row r="206" spans="2:4" ht="15.75" customHeight="1">
      <c r="B206" s="668" t="str">
        <f t="shared" si="6"/>
        <v>C</v>
      </c>
      <c r="C206" s="668" t="str">
        <f t="shared" si="7"/>
        <v>Y</v>
      </c>
      <c r="D206" s="662" t="s">
        <v>1001</v>
      </c>
    </row>
    <row r="207" spans="2:4" ht="15.75" customHeight="1">
      <c r="B207" s="668" t="str">
        <f t="shared" si="6"/>
        <v>C</v>
      </c>
      <c r="C207" s="668" t="str">
        <f t="shared" si="7"/>
        <v>Y</v>
      </c>
      <c r="D207" s="662" t="s">
        <v>1002</v>
      </c>
    </row>
    <row r="208" spans="2:4" ht="15.75" customHeight="1">
      <c r="B208" s="668" t="str">
        <f t="shared" si="6"/>
        <v>C</v>
      </c>
      <c r="C208" s="668" t="str">
        <f t="shared" si="7"/>
        <v>Y</v>
      </c>
      <c r="D208" s="662" t="s">
        <v>1003</v>
      </c>
    </row>
    <row r="209" spans="2:4" ht="15.75" customHeight="1">
      <c r="B209" s="668" t="str">
        <f t="shared" si="6"/>
        <v>C</v>
      </c>
      <c r="C209" s="668" t="str">
        <f t="shared" si="7"/>
        <v>Y</v>
      </c>
      <c r="D209" s="662" t="s">
        <v>1004</v>
      </c>
    </row>
    <row r="210" spans="2:4" ht="15.75" customHeight="1">
      <c r="B210" s="668" t="str">
        <f t="shared" si="6"/>
        <v>C</v>
      </c>
      <c r="C210" s="668" t="str">
        <f t="shared" si="7"/>
        <v>Y</v>
      </c>
      <c r="D210" s="662" t="s">
        <v>1005</v>
      </c>
    </row>
    <row r="211" spans="2:4" ht="15.75" customHeight="1">
      <c r="B211" s="668" t="str">
        <f t="shared" si="6"/>
        <v>C</v>
      </c>
      <c r="C211" s="668" t="str">
        <f t="shared" si="7"/>
        <v>Y</v>
      </c>
      <c r="D211" s="662" t="s">
        <v>1006</v>
      </c>
    </row>
    <row r="212" spans="2:4" ht="15.75" customHeight="1">
      <c r="B212" s="668" t="str">
        <f t="shared" si="6"/>
        <v>C</v>
      </c>
      <c r="C212" s="668" t="str">
        <f t="shared" si="7"/>
        <v>Y</v>
      </c>
      <c r="D212" s="662" t="s">
        <v>833</v>
      </c>
    </row>
    <row r="213" spans="2:4" ht="15.75" customHeight="1">
      <c r="B213" s="668" t="str">
        <f t="shared" si="6"/>
        <v>C</v>
      </c>
      <c r="C213" s="668" t="str">
        <f t="shared" si="7"/>
        <v>Y</v>
      </c>
      <c r="D213" s="662" t="s">
        <v>796</v>
      </c>
    </row>
    <row r="214" spans="2:4" ht="15.75" customHeight="1">
      <c r="B214" s="668" t="str">
        <f t="shared" si="6"/>
        <v>C</v>
      </c>
      <c r="C214" s="668" t="str">
        <f t="shared" si="7"/>
        <v>Y</v>
      </c>
      <c r="D214" s="662" t="s">
        <v>809</v>
      </c>
    </row>
    <row r="215" spans="2:4" ht="15.75" customHeight="1">
      <c r="B215" s="668" t="str">
        <f t="shared" si="6"/>
        <v>C</v>
      </c>
      <c r="C215" s="668" t="str">
        <f t="shared" si="7"/>
        <v>Y</v>
      </c>
      <c r="D215" s="662" t="s">
        <v>828</v>
      </c>
    </row>
    <row r="216" spans="2:4" ht="15.75" customHeight="1">
      <c r="B216" s="668" t="str">
        <f t="shared" si="6"/>
        <v>C</v>
      </c>
      <c r="C216" s="668" t="str">
        <f t="shared" si="7"/>
        <v>Y</v>
      </c>
      <c r="D216" s="662" t="s">
        <v>1007</v>
      </c>
    </row>
    <row r="217" spans="2:4" ht="15.75" customHeight="1">
      <c r="B217" s="668" t="str">
        <f t="shared" si="6"/>
        <v>C</v>
      </c>
      <c r="C217" s="668" t="str">
        <f t="shared" si="7"/>
        <v>Y</v>
      </c>
      <c r="D217" s="662" t="s">
        <v>1008</v>
      </c>
    </row>
    <row r="218" spans="2:4" ht="15.75" customHeight="1">
      <c r="B218" s="668" t="str">
        <f t="shared" si="6"/>
        <v>C</v>
      </c>
      <c r="C218" s="668" t="str">
        <f t="shared" si="7"/>
        <v>Y</v>
      </c>
      <c r="D218" s="662" t="s">
        <v>1009</v>
      </c>
    </row>
    <row r="219" spans="2:4" ht="15.75" customHeight="1">
      <c r="B219" s="668" t="str">
        <f t="shared" si="6"/>
        <v>C</v>
      </c>
      <c r="C219" s="668" t="str">
        <f t="shared" si="7"/>
        <v>Y</v>
      </c>
      <c r="D219" s="662" t="s">
        <v>1010</v>
      </c>
    </row>
    <row r="220" spans="2:4" ht="15.75" customHeight="1">
      <c r="B220" s="668" t="str">
        <f t="shared" si="6"/>
        <v>C</v>
      </c>
      <c r="C220" s="668" t="str">
        <f t="shared" si="7"/>
        <v>Y</v>
      </c>
      <c r="D220" s="662" t="s">
        <v>1011</v>
      </c>
    </row>
    <row r="221" spans="2:4" ht="15.75" customHeight="1">
      <c r="B221" s="668" t="str">
        <f t="shared" si="6"/>
        <v>C</v>
      </c>
      <c r="C221" s="668" t="str">
        <f t="shared" si="7"/>
        <v>Y</v>
      </c>
      <c r="D221" s="662" t="s">
        <v>1012</v>
      </c>
    </row>
    <row r="222" spans="2:4" ht="15.75" customHeight="1">
      <c r="B222" s="668" t="str">
        <f t="shared" si="6"/>
        <v>C</v>
      </c>
      <c r="C222" s="668" t="str">
        <f t="shared" si="7"/>
        <v>Y</v>
      </c>
      <c r="D222" s="662" t="s">
        <v>824</v>
      </c>
    </row>
    <row r="223" spans="2:4" ht="15.75" customHeight="1">
      <c r="B223" s="668" t="str">
        <f t="shared" si="6"/>
        <v>C</v>
      </c>
      <c r="C223" s="668" t="str">
        <f t="shared" si="7"/>
        <v>Y</v>
      </c>
      <c r="D223" s="662" t="s">
        <v>830</v>
      </c>
    </row>
    <row r="224" spans="2:4" ht="15.75" customHeight="1">
      <c r="B224" s="668" t="str">
        <f t="shared" si="6"/>
        <v>C</v>
      </c>
      <c r="C224" s="668" t="str">
        <f t="shared" si="7"/>
        <v>Y</v>
      </c>
      <c r="D224" s="662" t="s">
        <v>1013</v>
      </c>
    </row>
    <row r="225" spans="2:5" ht="15.75" customHeight="1">
      <c r="B225" s="668" t="str">
        <f t="shared" si="6"/>
        <v>C</v>
      </c>
      <c r="C225" s="668" t="str">
        <f t="shared" si="7"/>
        <v>Y</v>
      </c>
      <c r="D225" s="662" t="s">
        <v>1014</v>
      </c>
    </row>
    <row r="226" spans="2:5" ht="15.75" customHeight="1">
      <c r="B226" s="668" t="str">
        <f t="shared" si="6"/>
        <v>C</v>
      </c>
      <c r="C226" s="668" t="str">
        <f t="shared" si="7"/>
        <v>Y</v>
      </c>
      <c r="D226" s="662" t="s">
        <v>795</v>
      </c>
    </row>
    <row r="227" spans="2:5" ht="15.75" customHeight="1">
      <c r="B227" s="668" t="str">
        <f t="shared" si="6"/>
        <v>C</v>
      </c>
      <c r="C227" s="668" t="str">
        <f t="shared" si="7"/>
        <v>Y</v>
      </c>
      <c r="D227" s="662" t="s">
        <v>784</v>
      </c>
    </row>
    <row r="228" spans="2:5" ht="15.75" customHeight="1">
      <c r="B228" s="668" t="str">
        <f t="shared" si="6"/>
        <v>C</v>
      </c>
      <c r="C228" s="668" t="str">
        <f t="shared" si="7"/>
        <v>Y</v>
      </c>
      <c r="D228" s="662" t="s">
        <v>1015</v>
      </c>
    </row>
    <row r="231" spans="2:5" ht="15.75" customHeight="1">
      <c r="E231" s="662" t="s">
        <v>0</v>
      </c>
    </row>
    <row r="232" spans="2:5" ht="15.75" customHeight="1">
      <c r="E232" s="662" t="s">
        <v>0</v>
      </c>
    </row>
  </sheetData>
  <hyperlinks>
    <hyperlink ref="B3" r:id="rId1" xr:uid="{3F5B30C2-91A7-41A2-9DB8-7D2C5BFAD635}"/>
    <hyperlink ref="B4" r:id="rId2" xr:uid="{A657F0FB-9D23-48DC-B4A7-5A21DED3DD51}"/>
    <hyperlink ref="A1" location="'TABLE OF CONTENTS'!A1" display="INDEX" xr:uid="{8BDAF2C1-1A92-48CE-980A-7C8472BE3B89}"/>
  </hyperlinks>
  <pageMargins left="0.7" right="0.7" top="0.75" bottom="0.75" header="0.3" footer="0.3"/>
  <pageSetup orientation="portrait" r:id="rId3"/>
  <tableParts count="1">
    <tablePart r:id="rId4"/>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73D90-E808-4146-B0F0-55E9B36094F0}">
  <sheetPr codeName="Sheet38">
    <tabColor rgb="FFFFFF00"/>
    <outlinePr summaryBelow="0" summaryRight="0"/>
  </sheetPr>
  <dimension ref="A1:E25"/>
  <sheetViews>
    <sheetView workbookViewId="0"/>
  </sheetViews>
  <sheetFormatPr defaultColWidth="12.5703125" defaultRowHeight="15.75" customHeight="1"/>
  <cols>
    <col min="1" max="1" width="12.5703125" style="121"/>
    <col min="2" max="2" width="24.7109375" style="121" customWidth="1"/>
    <col min="3" max="3" width="14" style="121" customWidth="1"/>
    <col min="4" max="4" width="44.85546875" style="121" customWidth="1"/>
    <col min="5" max="5" width="35.28515625" style="121" customWidth="1"/>
    <col min="6" max="16384" width="12.5703125" style="121"/>
  </cols>
  <sheetData>
    <row r="1" spans="1:5" ht="15.75" customHeight="1">
      <c r="A1" s="59" t="s">
        <v>1650</v>
      </c>
      <c r="C1" s="121" t="s">
        <v>1082</v>
      </c>
    </row>
    <row r="2" spans="1:5" ht="15.75" customHeight="1">
      <c r="B2" s="121">
        <v>1</v>
      </c>
      <c r="C2" s="121">
        <f>B2+1</f>
        <v>2</v>
      </c>
      <c r="D2" s="121">
        <f t="shared" ref="D2:E2" si="0">C2+1</f>
        <v>3</v>
      </c>
      <c r="E2" s="121">
        <f t="shared" si="0"/>
        <v>4</v>
      </c>
    </row>
    <row r="3" spans="1:5" ht="15.75" customHeight="1">
      <c r="B3" s="173" t="s">
        <v>238</v>
      </c>
      <c r="C3" s="121" t="s">
        <v>40</v>
      </c>
      <c r="D3" s="121" t="s">
        <v>1017</v>
      </c>
      <c r="E3" s="121" t="s">
        <v>1018</v>
      </c>
    </row>
    <row r="4" spans="1:5" ht="15.75" customHeight="1">
      <c r="A4" s="121">
        <v>1</v>
      </c>
      <c r="B4" s="173" t="s">
        <v>230</v>
      </c>
      <c r="D4" s="173" t="s">
        <v>24</v>
      </c>
      <c r="E4" s="173" t="s">
        <v>24</v>
      </c>
    </row>
    <row r="5" spans="1:5" ht="15.75" customHeight="1">
      <c r="A5" s="121">
        <v>2</v>
      </c>
      <c r="B5" s="173" t="s">
        <v>233</v>
      </c>
      <c r="D5" s="173" t="s">
        <v>854</v>
      </c>
      <c r="E5" s="173" t="s">
        <v>853</v>
      </c>
    </row>
    <row r="6" spans="1:5" ht="15.75" customHeight="1">
      <c r="A6" s="121">
        <v>3</v>
      </c>
      <c r="B6" s="173" t="s">
        <v>3</v>
      </c>
      <c r="D6" s="173" t="s">
        <v>856</v>
      </c>
      <c r="E6" s="173" t="s">
        <v>855</v>
      </c>
    </row>
    <row r="7" spans="1:5" ht="15.75" customHeight="1">
      <c r="A7" s="121">
        <v>4</v>
      </c>
      <c r="B7" s="173" t="s">
        <v>4</v>
      </c>
      <c r="D7" s="173" t="s">
        <v>92</v>
      </c>
      <c r="E7" s="173" t="s">
        <v>592</v>
      </c>
    </row>
    <row r="8" spans="1:5" ht="15.75" customHeight="1">
      <c r="A8" s="121">
        <v>5</v>
      </c>
      <c r="B8" s="121" t="s">
        <v>26</v>
      </c>
      <c r="D8" s="173" t="s">
        <v>856</v>
      </c>
      <c r="E8" s="173" t="s">
        <v>855</v>
      </c>
    </row>
    <row r="9" spans="1:5" ht="15.75" customHeight="1">
      <c r="A9" s="121">
        <v>6</v>
      </c>
      <c r="B9" s="173" t="s">
        <v>33</v>
      </c>
      <c r="D9" s="121" t="s">
        <v>1554</v>
      </c>
      <c r="E9" s="121" t="s">
        <v>1554</v>
      </c>
    </row>
    <row r="10" spans="1:5" ht="15.75" customHeight="1">
      <c r="A10" s="121">
        <v>7</v>
      </c>
      <c r="B10" s="173" t="s">
        <v>34</v>
      </c>
      <c r="D10" s="121" t="s">
        <v>91</v>
      </c>
      <c r="E10" s="121" t="s">
        <v>364</v>
      </c>
    </row>
    <row r="11" spans="1:5" ht="15.75" customHeight="1">
      <c r="A11" s="121">
        <v>8</v>
      </c>
      <c r="B11" s="173" t="s">
        <v>35</v>
      </c>
      <c r="D11" s="121" t="s">
        <v>81</v>
      </c>
      <c r="E11" s="121" t="s">
        <v>81</v>
      </c>
    </row>
    <row r="12" spans="1:5" ht="15.75" customHeight="1">
      <c r="A12" s="121">
        <v>9</v>
      </c>
      <c r="B12" s="173" t="s">
        <v>37</v>
      </c>
      <c r="D12" s="121" t="s">
        <v>864</v>
      </c>
      <c r="E12" s="121" t="s">
        <v>332</v>
      </c>
    </row>
    <row r="13" spans="1:5" ht="15.75" customHeight="1">
      <c r="A13" s="121">
        <v>10</v>
      </c>
      <c r="B13" s="173" t="s">
        <v>234</v>
      </c>
      <c r="D13" s="121" t="s">
        <v>340</v>
      </c>
      <c r="E13" s="121" t="s">
        <v>340</v>
      </c>
    </row>
    <row r="14" spans="1:5" ht="15.75" customHeight="1">
      <c r="A14" s="121">
        <v>11</v>
      </c>
      <c r="B14" s="173" t="s">
        <v>235</v>
      </c>
      <c r="D14" s="121" t="s">
        <v>95</v>
      </c>
      <c r="E14" s="121" t="s">
        <v>95</v>
      </c>
    </row>
    <row r="15" spans="1:5" ht="15.75" customHeight="1">
      <c r="A15" s="121">
        <v>12</v>
      </c>
      <c r="B15" s="173" t="s">
        <v>39</v>
      </c>
      <c r="D15" s="121" t="s">
        <v>345</v>
      </c>
      <c r="E15" s="121" t="s">
        <v>345</v>
      </c>
    </row>
    <row r="16" spans="1:5" ht="15.75" customHeight="1">
      <c r="A16" s="121">
        <v>13</v>
      </c>
      <c r="B16" s="173" t="s">
        <v>23</v>
      </c>
      <c r="D16" s="121" t="s">
        <v>24</v>
      </c>
      <c r="E16" s="121" t="s">
        <v>24</v>
      </c>
    </row>
    <row r="17" spans="1:5" ht="15.75" customHeight="1">
      <c r="A17" s="121">
        <v>14</v>
      </c>
      <c r="B17" s="121" t="s">
        <v>231</v>
      </c>
      <c r="D17" s="173" t="s">
        <v>854</v>
      </c>
      <c r="E17" s="173" t="s">
        <v>853</v>
      </c>
    </row>
    <row r="18" spans="1:5" ht="15.75" customHeight="1">
      <c r="A18" s="121">
        <v>15</v>
      </c>
      <c r="B18" s="121" t="s">
        <v>232</v>
      </c>
      <c r="D18" s="173" t="s">
        <v>854</v>
      </c>
      <c r="E18" s="173" t="s">
        <v>853</v>
      </c>
    </row>
    <row r="19" spans="1:5" ht="15.75" customHeight="1">
      <c r="A19" s="121">
        <v>16</v>
      </c>
      <c r="B19" s="121" t="s">
        <v>36</v>
      </c>
      <c r="D19" s="173" t="s">
        <v>24</v>
      </c>
      <c r="E19" s="173" t="s">
        <v>24</v>
      </c>
    </row>
    <row r="20" spans="1:5" ht="15.75" customHeight="1">
      <c r="A20" s="121">
        <v>17</v>
      </c>
      <c r="B20" s="121" t="s">
        <v>229</v>
      </c>
      <c r="D20" s="121" t="s">
        <v>24</v>
      </c>
      <c r="E20" s="121" t="s">
        <v>24</v>
      </c>
    </row>
    <row r="21" spans="1:5" ht="15.75" customHeight="1">
      <c r="A21" s="121">
        <v>18</v>
      </c>
      <c r="B21" s="121" t="s">
        <v>239</v>
      </c>
      <c r="D21" s="173" t="s">
        <v>1019</v>
      </c>
      <c r="E21" s="173" t="s">
        <v>594</v>
      </c>
    </row>
    <row r="22" spans="1:5" ht="15.75" customHeight="1">
      <c r="E22" s="173"/>
    </row>
    <row r="23" spans="1:5" ht="15.75" customHeight="1">
      <c r="E23" s="173"/>
    </row>
    <row r="24" spans="1:5" ht="15.75" customHeight="1">
      <c r="E24" s="173"/>
    </row>
    <row r="25" spans="1:5" ht="15.75" customHeight="1">
      <c r="E25" s="173"/>
    </row>
  </sheetData>
  <hyperlinks>
    <hyperlink ref="A1" location="'TABLE OF CONTENTS'!A1" display="INDEX" xr:uid="{5AA02D70-625D-4D21-9A58-6391D05AD635}"/>
  </hyperlink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E083060D-9C1C-47A2-B8DA-8568466BB24E}">
          <x14:formula1>
            <xm:f>COA!$D$9:$D$174</xm:f>
          </x14:formula1>
          <xm:sqref>D4:E21</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C03F3-D40E-48B8-A33C-F9F078951508}">
  <sheetPr codeName="Sheet61">
    <tabColor rgb="FFFFFF00"/>
  </sheetPr>
  <dimension ref="A1:N25"/>
  <sheetViews>
    <sheetView workbookViewId="0"/>
  </sheetViews>
  <sheetFormatPr defaultColWidth="12.5703125" defaultRowHeight="15.75" customHeight="1"/>
  <cols>
    <col min="1" max="1" width="3.42578125" customWidth="1"/>
    <col min="2" max="2" width="6.7109375" customWidth="1"/>
    <col min="3" max="3" width="23.28515625" customWidth="1"/>
    <col min="4" max="4" width="23.85546875" customWidth="1"/>
  </cols>
  <sheetData>
    <row r="1" spans="1:14" ht="15.75" customHeight="1">
      <c r="A1" s="59" t="s">
        <v>1650</v>
      </c>
      <c r="C1" s="3" t="s">
        <v>1083</v>
      </c>
      <c r="D1" s="45"/>
    </row>
    <row r="2" spans="1:14">
      <c r="C2" s="1297" t="str">
        <f>COA!$B$2</f>
        <v>ANONYMOUS COMPANY</v>
      </c>
      <c r="D2" s="1295"/>
      <c r="E2" s="1295"/>
      <c r="F2" s="1295"/>
      <c r="G2" s="1295"/>
      <c r="H2" s="1295"/>
      <c r="I2" s="1295"/>
      <c r="J2" s="1295"/>
      <c r="K2" s="1"/>
      <c r="L2" s="1"/>
      <c r="M2" s="1"/>
    </row>
    <row r="3" spans="1:14" ht="15.75" customHeight="1">
      <c r="C3" s="1297" t="s">
        <v>186</v>
      </c>
      <c r="D3" s="1295"/>
      <c r="E3" s="1295"/>
      <c r="F3" s="1295"/>
      <c r="G3" s="1295"/>
      <c r="H3" s="1295"/>
      <c r="I3" s="1295"/>
      <c r="J3" s="1295"/>
      <c r="K3" s="1"/>
      <c r="L3" s="1"/>
      <c r="M3" s="1"/>
    </row>
    <row r="4" spans="1:14" ht="15.75" customHeight="1">
      <c r="C4" s="1298" t="str">
        <f>"TRANSACTION LISTING FOR THE PERIOD ENDED "&amp;UPPER(TEXT(COA!F3,"MMMM DD, YYYY"))</f>
        <v>TRANSACTION LISTING FOR THE PERIOD ENDED JANUARY 00, 1900</v>
      </c>
      <c r="D4" s="1298"/>
      <c r="E4" s="1298"/>
      <c r="F4" s="1298"/>
      <c r="G4" s="1298"/>
      <c r="H4" s="1298"/>
      <c r="I4" s="1298"/>
      <c r="J4" s="1298"/>
      <c r="K4" s="1298"/>
      <c r="L4" s="1"/>
      <c r="M4" s="1"/>
      <c r="N4" s="79"/>
    </row>
    <row r="5" spans="1:14" ht="15.75" customHeight="1">
      <c r="B5" s="54"/>
      <c r="C5" s="54"/>
      <c r="D5" s="54"/>
      <c r="E5" s="54"/>
      <c r="F5" s="54"/>
      <c r="G5" s="54"/>
      <c r="H5" s="54"/>
      <c r="I5" s="54"/>
      <c r="J5" s="54"/>
      <c r="K5" s="54"/>
      <c r="L5" s="1"/>
      <c r="M5" s="1"/>
    </row>
    <row r="6" spans="1:14" ht="15.75" customHeight="1">
      <c r="B6" s="54"/>
      <c r="C6" s="54"/>
      <c r="D6" s="54"/>
      <c r="E6" s="54"/>
      <c r="F6" s="54"/>
      <c r="G6" s="54"/>
      <c r="H6" s="54"/>
      <c r="I6" s="54"/>
      <c r="J6" s="54"/>
      <c r="K6" s="54"/>
      <c r="L6" s="1"/>
      <c r="M6" s="1"/>
    </row>
    <row r="7" spans="1:14" ht="15.75" customHeight="1">
      <c r="B7" s="72" t="s">
        <v>188</v>
      </c>
      <c r="C7" s="72" t="s">
        <v>98</v>
      </c>
      <c r="D7" s="72" t="s">
        <v>40</v>
      </c>
      <c r="E7" s="78" t="s">
        <v>720</v>
      </c>
      <c r="F7" s="72" t="s">
        <v>190</v>
      </c>
      <c r="G7" s="72" t="s">
        <v>49</v>
      </c>
      <c r="H7" s="72" t="s">
        <v>191</v>
      </c>
      <c r="I7" s="72" t="s">
        <v>192</v>
      </c>
      <c r="J7" s="72" t="s">
        <v>193</v>
      </c>
      <c r="K7" s="72" t="s">
        <v>41</v>
      </c>
      <c r="L7" s="72" t="s">
        <v>194</v>
      </c>
      <c r="M7" s="1"/>
      <c r="N7" s="1"/>
    </row>
    <row r="8" spans="1:14" ht="15.75" customHeight="1">
      <c r="B8" s="17">
        <v>1</v>
      </c>
      <c r="C8" s="6" t="s">
        <v>0</v>
      </c>
      <c r="D8" s="1" t="s">
        <v>1381</v>
      </c>
      <c r="E8" s="1" t="s">
        <v>721</v>
      </c>
      <c r="F8" s="21">
        <f>DSUM(WJ!$B$9:$N$16,7,$B$7:B8)-SUM($F$7:F7)</f>
        <v>3500</v>
      </c>
      <c r="G8" s="21">
        <f>DSUM(WJ!$B$9:$N$16,8,$B$7:B8)-SUM($G$7:G7)</f>
        <v>105</v>
      </c>
      <c r="H8" s="21">
        <f>DSUM(WJ!$B$9:$N$16,9,$B$7:B8)-SUM($H$7:H7)</f>
        <v>140</v>
      </c>
      <c r="I8" s="21">
        <f>DSUM(WJ!$B$9:$N$16,10,$B$7:B8)-SUM($I$7:I7)</f>
        <v>525</v>
      </c>
      <c r="J8" s="21">
        <f>DSUM(WJ!$B$9:$N$16,11,$B$7:B8)-SUM($J$7:J7)</f>
        <v>262.5</v>
      </c>
      <c r="K8" s="21">
        <f>DSUM(WJ!$B$9:$N$16,12,$B$7:B8)-SUM($K$7:K7)</f>
        <v>10</v>
      </c>
      <c r="L8" s="21">
        <f>DSUM(WJ!$B$9:$N$16,13,$B$7:B8)-SUM($L$7:L7)</f>
        <v>2457.5</v>
      </c>
      <c r="M8" s="1"/>
      <c r="N8" s="1"/>
    </row>
    <row r="9" spans="1:14" ht="15.75" customHeight="1">
      <c r="B9" s="17">
        <v>2</v>
      </c>
      <c r="C9" s="6" t="s">
        <v>0</v>
      </c>
      <c r="D9" s="1" t="s">
        <v>1382</v>
      </c>
      <c r="E9" s="1" t="s">
        <v>722</v>
      </c>
      <c r="F9" s="21">
        <f>DSUM(WJ!$B$9:$N$16,7,$B$7:B9)-SUM($F$7:F8)</f>
        <v>3500</v>
      </c>
      <c r="G9" s="21">
        <f>DSUM(WJ!$B$9:$N$16,8,$B$7:B9)-SUM($G$7:G8)</f>
        <v>105</v>
      </c>
      <c r="H9" s="21">
        <f>DSUM(WJ!$B$9:$N$16,9,$B$7:B9)-SUM($H$7:H8)</f>
        <v>140</v>
      </c>
      <c r="I9" s="21">
        <f>DSUM(WJ!$B$9:$N$16,10,$B$7:B9)-SUM($I$7:I8)</f>
        <v>525</v>
      </c>
      <c r="J9" s="21">
        <f>DSUM(WJ!$B$9:$N$16,11,$B$7:B9)-SUM($J$7:J8)</f>
        <v>262.5</v>
      </c>
      <c r="K9" s="21">
        <f>DSUM(WJ!$B$9:$N$16,12,$B$7:B9)-SUM($K$7:K8)</f>
        <v>10</v>
      </c>
      <c r="L9" s="21">
        <f>DSUM(WJ!$B$9:$N$16,13,$B$7:B9)-SUM($L$7:L8)</f>
        <v>2457.5</v>
      </c>
      <c r="M9" s="1"/>
      <c r="N9" s="1"/>
    </row>
    <row r="10" spans="1:14" ht="15.75" customHeight="1">
      <c r="B10" s="17">
        <v>3</v>
      </c>
      <c r="C10" s="6"/>
      <c r="D10" s="1" t="s">
        <v>216</v>
      </c>
      <c r="E10" s="1"/>
      <c r="F10" s="21">
        <f>DSUM(WJ!$B$9:$N$16,7,$B$7:B10)-SUM($F$7:F9)</f>
        <v>0</v>
      </c>
      <c r="G10" s="21">
        <f>DSUM(WJ!$B$9:$N$16,8,$B$7:B10)-SUM($G$7:G9)</f>
        <v>0</v>
      </c>
      <c r="H10" s="21">
        <f>DSUM(WJ!$B$9:$N$16,9,$B$7:B10)-SUM($H$7:H9)</f>
        <v>0</v>
      </c>
      <c r="I10" s="21">
        <f>DSUM(WJ!$B$9:$N$16,10,$B$7:B10)-SUM($I$7:I9)</f>
        <v>0</v>
      </c>
      <c r="J10" s="21">
        <f>DSUM(WJ!$B$9:$N$16,11,$B$7:B10)-SUM($J$7:J9)</f>
        <v>0</v>
      </c>
      <c r="K10" s="21">
        <f>DSUM(WJ!$B$9:$N$16,12,$B$7:B10)-SUM($K$7:K9)</f>
        <v>0</v>
      </c>
      <c r="L10" s="21">
        <f>DSUM(WJ!$B$9:$N$16,13,$B$7:B10)-SUM($L$7:L9)</f>
        <v>0</v>
      </c>
      <c r="M10" s="1"/>
      <c r="N10" s="1"/>
    </row>
    <row r="11" spans="1:14" ht="15.75" customHeight="1">
      <c r="B11" s="17">
        <v>4</v>
      </c>
      <c r="C11" s="6"/>
      <c r="D11" s="1" t="s">
        <v>217</v>
      </c>
      <c r="E11" s="1"/>
      <c r="F11" s="21">
        <f>DSUM(WJ!$B$9:$N$16,7,$B$7:B11)-SUM($F$7:F10)</f>
        <v>0</v>
      </c>
      <c r="G11" s="21">
        <f>DSUM(WJ!$B$9:$N$16,8,$B$7:B11)-SUM($G$7:G10)</f>
        <v>0</v>
      </c>
      <c r="H11" s="21">
        <f>DSUM(WJ!$B$9:$N$16,9,$B$7:B11)-SUM($H$7:H10)</f>
        <v>0</v>
      </c>
      <c r="I11" s="21">
        <f>DSUM(WJ!$B$9:$N$16,10,$B$7:B11)-SUM($I$7:I10)</f>
        <v>0</v>
      </c>
      <c r="J11" s="21">
        <f>DSUM(WJ!$B$9:$N$16,11,$B$7:B11)-SUM($J$7:J10)</f>
        <v>0</v>
      </c>
      <c r="K11" s="21">
        <f>DSUM(WJ!$B$9:$N$16,12,$B$7:B11)-SUM($K$7:K10)</f>
        <v>0</v>
      </c>
      <c r="L11" s="21">
        <f>DSUM(WJ!$B$9:$N$16,13,$B$7:B11)-SUM($L$7:L10)</f>
        <v>0</v>
      </c>
      <c r="M11" s="1"/>
      <c r="N11" s="1"/>
    </row>
    <row r="12" spans="1:14" ht="15.75" customHeight="1">
      <c r="B12" s="17">
        <v>5</v>
      </c>
      <c r="C12" s="6"/>
      <c r="D12" s="1" t="s">
        <v>218</v>
      </c>
      <c r="E12" s="1"/>
      <c r="F12" s="21">
        <f>DSUM(WJ!$B$9:$N$16,7,$B$7:B12)-SUM($F$7:F11)</f>
        <v>0</v>
      </c>
      <c r="G12" s="21">
        <f>DSUM(WJ!$B$9:$N$16,8,$B$7:B12)-SUM($G$7:G11)</f>
        <v>0</v>
      </c>
      <c r="H12" s="21">
        <f>DSUM(WJ!$B$9:$N$16,9,$B$7:B12)-SUM($H$7:H11)</f>
        <v>0</v>
      </c>
      <c r="I12" s="21">
        <f>DSUM(WJ!$B$9:$N$16,10,$B$7:B12)-SUM($I$7:I11)</f>
        <v>0</v>
      </c>
      <c r="J12" s="21">
        <f>DSUM(WJ!$B$9:$N$16,11,$B$7:B12)-SUM($J$7:J11)</f>
        <v>0</v>
      </c>
      <c r="K12" s="21">
        <f>DSUM(WJ!$B$9:$N$16,12,$B$7:B12)-SUM($K$7:K11)</f>
        <v>0</v>
      </c>
      <c r="L12" s="21">
        <f>DSUM(WJ!$B$9:$N$16,13,$B$7:B12)-SUM($L$7:L11)</f>
        <v>0</v>
      </c>
      <c r="M12" s="1"/>
      <c r="N12" s="1"/>
    </row>
    <row r="13" spans="1:14" ht="15.75" customHeight="1">
      <c r="B13" s="17">
        <v>6</v>
      </c>
      <c r="C13" s="6"/>
      <c r="D13" s="1" t="s">
        <v>219</v>
      </c>
      <c r="E13" s="1"/>
      <c r="F13" s="21">
        <f>DSUM(WJ!$B$9:$N$16,7,$B$7:B13)-SUM($F$7:F12)</f>
        <v>0</v>
      </c>
      <c r="G13" s="21">
        <f>DSUM(WJ!$B$9:$N$16,8,$B$7:B13)-SUM($G$7:G12)</f>
        <v>0</v>
      </c>
      <c r="H13" s="21">
        <f>DSUM(WJ!$B$9:$N$16,9,$B$7:B13)-SUM($H$7:H12)</f>
        <v>0</v>
      </c>
      <c r="I13" s="21">
        <f>DSUM(WJ!$B$9:$N$16,10,$B$7:B13)-SUM($I$7:I12)</f>
        <v>0</v>
      </c>
      <c r="J13" s="21">
        <f>DSUM(WJ!$B$9:$N$16,11,$B$7:B13)-SUM($J$7:J12)</f>
        <v>0</v>
      </c>
      <c r="K13" s="21">
        <f>DSUM(WJ!$B$9:$N$16,12,$B$7:B13)-SUM($K$7:K12)</f>
        <v>0</v>
      </c>
      <c r="L13" s="21">
        <f>DSUM(WJ!$B$9:$N$16,13,$B$7:B13)-SUM($L$7:L12)</f>
        <v>0</v>
      </c>
      <c r="M13" s="1"/>
      <c r="N13" s="1"/>
    </row>
    <row r="14" spans="1:14" ht="15.75" customHeight="1">
      <c r="B14" s="17">
        <v>7</v>
      </c>
      <c r="C14" s="6"/>
      <c r="D14" s="1" t="s">
        <v>220</v>
      </c>
      <c r="E14" s="1"/>
      <c r="F14" s="21">
        <f>DSUM(WJ!$B$9:$N$16,7,$B$7:B14)-SUM($F$7:F13)</f>
        <v>0</v>
      </c>
      <c r="G14" s="21">
        <f>DSUM(WJ!$B$9:$N$16,8,$B$7:B14)-SUM($G$7:G13)</f>
        <v>0</v>
      </c>
      <c r="H14" s="21">
        <f>DSUM(WJ!$B$9:$N$16,9,$B$7:B14)-SUM($H$7:H13)</f>
        <v>0</v>
      </c>
      <c r="I14" s="21">
        <f>DSUM(WJ!$B$9:$N$16,10,$B$7:B14)-SUM($I$7:I13)</f>
        <v>0</v>
      </c>
      <c r="J14" s="21">
        <f>DSUM(WJ!$B$9:$N$16,11,$B$7:B14)-SUM($J$7:J13)</f>
        <v>0</v>
      </c>
      <c r="K14" s="21">
        <f>DSUM(WJ!$B$9:$N$16,12,$B$7:B14)-SUM($K$7:K13)</f>
        <v>0</v>
      </c>
      <c r="L14" s="21">
        <f>DSUM(WJ!$B$9:$N$16,13,$B$7:B14)-SUM($L$7:L13)</f>
        <v>0</v>
      </c>
      <c r="M14" s="1"/>
      <c r="N14" s="1"/>
    </row>
    <row r="15" spans="1:14" ht="15.75" customHeight="1">
      <c r="B15" s="17">
        <v>8</v>
      </c>
      <c r="C15" s="6"/>
      <c r="D15" s="1" t="s">
        <v>221</v>
      </c>
      <c r="E15" s="1"/>
      <c r="F15" s="21">
        <f>DSUM(WJ!$B$9:$N$16,7,$B$7:B15)-SUM($F$7:F14)</f>
        <v>0</v>
      </c>
      <c r="G15" s="21">
        <f>DSUM(WJ!$B$9:$N$16,8,$B$7:B15)-SUM($G$7:G14)</f>
        <v>0</v>
      </c>
      <c r="H15" s="21">
        <f>DSUM(WJ!$B$9:$N$16,9,$B$7:B15)-SUM($H$7:H14)</f>
        <v>0</v>
      </c>
      <c r="I15" s="21">
        <f>DSUM(WJ!$B$9:$N$16,10,$B$7:B15)-SUM($I$7:I14)</f>
        <v>0</v>
      </c>
      <c r="J15" s="21">
        <f>DSUM(WJ!$B$9:$N$16,11,$B$7:B15)-SUM($J$7:J14)</f>
        <v>0</v>
      </c>
      <c r="K15" s="21">
        <f>DSUM(WJ!$B$9:$N$16,12,$B$7:B15)-SUM($K$7:K14)</f>
        <v>0</v>
      </c>
      <c r="L15" s="21">
        <f>DSUM(WJ!$B$9:$N$16,13,$B$7:B15)-SUM($L$7:L14)</f>
        <v>0</v>
      </c>
      <c r="M15" s="1"/>
      <c r="N15" s="1"/>
    </row>
    <row r="16" spans="1:14" ht="15.75" customHeight="1">
      <c r="B16" s="17">
        <v>0</v>
      </c>
      <c r="C16" s="6"/>
      <c r="D16" s="1" t="s">
        <v>0</v>
      </c>
      <c r="E16" s="1"/>
      <c r="F16" s="21">
        <f>DSUM(WJ!$B$9:$N$16,7,$B$7:B16)-SUM($F$7:F15)</f>
        <v>0</v>
      </c>
      <c r="G16" s="21">
        <f>DSUM(WJ!$B$9:$N$16,8,$B$7:B16)-SUM($G$7:G15)</f>
        <v>0</v>
      </c>
      <c r="H16" s="21">
        <f>DSUM(WJ!$B$9:$N$16,9,$B$7:B16)-SUM($H$7:H15)</f>
        <v>0</v>
      </c>
      <c r="I16" s="21">
        <f>DSUM(WJ!$B$9:$N$16,10,$B$7:B16)-SUM($I$7:I15)</f>
        <v>0</v>
      </c>
      <c r="J16" s="21">
        <f>DSUM(WJ!$B$9:$N$16,11,$B$7:B16)-SUM($J$7:J15)</f>
        <v>0</v>
      </c>
      <c r="K16" s="21">
        <f>DSUM(WJ!$B$9:$N$16,12,$B$7:B16)-SUM($K$7:K15)</f>
        <v>0</v>
      </c>
      <c r="L16" s="21">
        <f>DSUM(WJ!$B$9:$N$16,13,$B$7:B16)-SUM($L$7:L15)</f>
        <v>0</v>
      </c>
      <c r="M16" s="1"/>
      <c r="N16" s="1"/>
    </row>
    <row r="17" spans="2:14" ht="15.75" customHeight="1">
      <c r="B17" s="1"/>
      <c r="C17" s="1"/>
      <c r="D17" s="1"/>
      <c r="E17" s="80"/>
      <c r="F17" s="21" t="s">
        <v>0</v>
      </c>
      <c r="G17" s="21">
        <f>DSUM(WJ!$B$9:$N$16,8,$B$7:B17)-SUM($G$7:G16)</f>
        <v>0</v>
      </c>
      <c r="H17" s="21">
        <f>DSUM(WJ!$B$9:$N$16,9,$B$7:B17)-SUM($H$7:H16)</f>
        <v>0</v>
      </c>
      <c r="I17" s="21" t="s">
        <v>0</v>
      </c>
      <c r="J17" s="21">
        <f>DSUM(WJ!$B$9:$N$16,11,$B$7:B17)-SUM($J$7:J16)</f>
        <v>0</v>
      </c>
      <c r="K17" s="21">
        <f>DSUM(WJ!$B$9:$N$16,12,$B$7:B17)-SUM($K$7:K16)</f>
        <v>0</v>
      </c>
      <c r="L17" s="21" t="s">
        <v>0</v>
      </c>
      <c r="M17" s="1"/>
      <c r="N17" s="1"/>
    </row>
    <row r="18" spans="2:14" ht="15.75" customHeight="1" thickBot="1">
      <c r="B18" s="1"/>
      <c r="C18" s="1"/>
      <c r="D18" s="1"/>
      <c r="E18" s="1"/>
      <c r="F18" s="81">
        <f t="shared" ref="F18:L18" si="0">SUM(F8:F16)</f>
        <v>7000</v>
      </c>
      <c r="G18" s="81">
        <f t="shared" si="0"/>
        <v>210</v>
      </c>
      <c r="H18" s="81">
        <f t="shared" si="0"/>
        <v>280</v>
      </c>
      <c r="I18" s="81">
        <f t="shared" si="0"/>
        <v>1050</v>
      </c>
      <c r="J18" s="81">
        <f t="shared" si="0"/>
        <v>525</v>
      </c>
      <c r="K18" s="81">
        <f t="shared" si="0"/>
        <v>20</v>
      </c>
      <c r="L18" s="81">
        <f t="shared" si="0"/>
        <v>4915</v>
      </c>
      <c r="M18" s="1"/>
      <c r="N18" s="82"/>
    </row>
    <row r="19" spans="2:14" ht="15.75" customHeight="1" thickTop="1">
      <c r="B19" s="1"/>
      <c r="C19" s="1"/>
      <c r="D19" s="1"/>
      <c r="E19" s="1"/>
      <c r="F19" s="1"/>
      <c r="G19" s="1"/>
      <c r="H19" s="1"/>
      <c r="I19" s="1"/>
      <c r="J19" s="1"/>
      <c r="K19" s="1"/>
      <c r="L19" s="1"/>
      <c r="M19" s="1"/>
      <c r="N19" s="1"/>
    </row>
    <row r="20" spans="2:14" ht="15.75" customHeight="1" thickBot="1">
      <c r="B20" s="1"/>
      <c r="C20" s="1"/>
      <c r="D20" s="1"/>
      <c r="E20" s="1"/>
      <c r="F20" s="1"/>
      <c r="G20" s="81">
        <f>2*G18</f>
        <v>420</v>
      </c>
      <c r="H20" s="81">
        <f>2.4*H18</f>
        <v>672</v>
      </c>
      <c r="I20" s="81">
        <f>I18</f>
        <v>1050</v>
      </c>
      <c r="J20" s="81">
        <f>J18</f>
        <v>525</v>
      </c>
      <c r="K20" s="1"/>
      <c r="L20" s="81">
        <f>I20+H20+G20+J20</f>
        <v>2667</v>
      </c>
      <c r="M20" s="1"/>
      <c r="N20" s="1"/>
    </row>
    <row r="21" spans="2:14" ht="15.75" customHeight="1" thickTop="1">
      <c r="B21" s="1"/>
      <c r="C21" s="1"/>
      <c r="D21" s="1"/>
      <c r="E21" s="1"/>
      <c r="F21" s="1"/>
      <c r="G21" s="1"/>
      <c r="H21" s="1"/>
      <c r="I21" s="1"/>
      <c r="J21" s="1"/>
      <c r="K21" s="1"/>
      <c r="L21" s="1"/>
      <c r="M21" s="1"/>
      <c r="N21" s="210"/>
    </row>
    <row r="22" spans="2:14" ht="15.75" customHeight="1" thickBot="1">
      <c r="B22" s="1"/>
      <c r="C22" s="1"/>
      <c r="D22" s="1" t="s">
        <v>0</v>
      </c>
      <c r="E22" s="1" t="s">
        <v>0</v>
      </c>
      <c r="F22" s="8">
        <v>0</v>
      </c>
      <c r="G22" s="20">
        <v>0</v>
      </c>
      <c r="H22" s="1"/>
      <c r="I22" s="1"/>
      <c r="J22" s="1"/>
      <c r="K22" s="1"/>
      <c r="L22" s="1"/>
      <c r="M22" s="1"/>
      <c r="N22" s="1"/>
    </row>
    <row r="23" spans="2:14" ht="15.75" customHeight="1" thickTop="1">
      <c r="B23" s="1"/>
      <c r="C23" s="1"/>
      <c r="D23" s="1"/>
      <c r="E23" s="1"/>
      <c r="F23" s="1" t="s">
        <v>0</v>
      </c>
      <c r="G23" s="1"/>
      <c r="H23" s="1"/>
      <c r="I23" s="1"/>
      <c r="J23" s="1"/>
      <c r="K23" s="1"/>
      <c r="L23" s="1"/>
      <c r="M23" s="1"/>
    </row>
    <row r="24" spans="2:14" ht="15.75" customHeight="1">
      <c r="B24" s="1"/>
      <c r="C24" s="1"/>
      <c r="D24" s="1"/>
      <c r="E24" s="1"/>
      <c r="F24" s="1"/>
      <c r="G24" s="1"/>
      <c r="H24" s="1"/>
      <c r="I24" s="123"/>
      <c r="J24" s="1"/>
      <c r="K24" s="1"/>
      <c r="L24" s="1"/>
      <c r="M24" s="1"/>
    </row>
    <row r="25" spans="2:14" ht="15.75" customHeight="1">
      <c r="B25" s="1"/>
      <c r="C25" s="1"/>
      <c r="D25" s="1"/>
      <c r="E25" s="1"/>
      <c r="F25" s="83">
        <f>G8-G22</f>
        <v>105</v>
      </c>
      <c r="G25" s="1"/>
      <c r="H25" s="1"/>
      <c r="I25" s="1"/>
      <c r="J25" s="1"/>
      <c r="K25" s="1"/>
      <c r="L25" s="1"/>
      <c r="M25" s="1"/>
    </row>
  </sheetData>
  <mergeCells count="3">
    <mergeCell ref="C2:J2"/>
    <mergeCell ref="C3:J3"/>
    <mergeCell ref="C4:K4"/>
  </mergeCells>
  <hyperlinks>
    <hyperlink ref="A1" location="'TABLE OF CONTENTS'!A1" display="INDEX" xr:uid="{D7DA7676-B487-4565-B9C2-8626B7FCB38D}"/>
  </hyperlinks>
  <pageMargins left="0.7" right="0.7" top="0.75" bottom="0.75" header="0.3" footer="0.3"/>
  <pageSetup orientation="portrait" r:id="rId1"/>
  <tableParts count="1">
    <tablePart r:id="rId2"/>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60">
    <tabColor rgb="FFFFFF00"/>
    <outlinePr summaryBelow="0" summaryRight="0"/>
  </sheetPr>
  <dimension ref="A1:J16"/>
  <sheetViews>
    <sheetView workbookViewId="0"/>
  </sheetViews>
  <sheetFormatPr defaultColWidth="12.5703125" defaultRowHeight="15.75" customHeight="1"/>
  <cols>
    <col min="3" max="4" width="47" customWidth="1"/>
    <col min="5" max="5" width="21.7109375" customWidth="1"/>
    <col min="6" max="7" width="13.5703125" customWidth="1"/>
    <col min="8" max="8" width="14" customWidth="1"/>
  </cols>
  <sheetData>
    <row r="1" spans="1:10" ht="15.75" customHeight="1">
      <c r="A1" s="59" t="s">
        <v>1650</v>
      </c>
      <c r="B1" s="662"/>
      <c r="C1" s="662" t="s">
        <v>1073</v>
      </c>
      <c r="D1" s="662"/>
    </row>
    <row r="2" spans="1:10" ht="15.75" customHeight="1">
      <c r="B2" s="1" t="s">
        <v>207</v>
      </c>
      <c r="C2" s="1" t="s">
        <v>29</v>
      </c>
      <c r="D2" s="1" t="s">
        <v>680</v>
      </c>
      <c r="E2" s="1" t="s">
        <v>208</v>
      </c>
      <c r="F2" s="1" t="s">
        <v>209</v>
      </c>
      <c r="G2" s="1" t="s">
        <v>210</v>
      </c>
      <c r="H2" s="1" t="s">
        <v>211</v>
      </c>
    </row>
    <row r="3" spans="1:10" ht="15.75" customHeight="1">
      <c r="B3" s="1" t="s">
        <v>212</v>
      </c>
      <c r="C3" s="1" t="s">
        <v>685</v>
      </c>
      <c r="D3" s="1" t="str">
        <f>CONCATENATE(M_CUSTOMERS[[#This Row],[CUSTOMER
NUMBER]]," ",M_CUSTOMERS[[#This Row],[NAME]])</f>
        <v>B-1000 BIG BAD WOLF INC</v>
      </c>
      <c r="E3" s="1" t="s">
        <v>699</v>
      </c>
      <c r="F3" s="1" t="s">
        <v>1135</v>
      </c>
      <c r="H3" s="1">
        <v>48721</v>
      </c>
    </row>
    <row r="4" spans="1:10" ht="15.75" customHeight="1">
      <c r="B4" s="1" t="s">
        <v>179</v>
      </c>
      <c r="C4" s="1" t="s">
        <v>686</v>
      </c>
      <c r="D4" s="1" t="str">
        <f>CONCATENATE(M_CUSTOMERS[[#This Row],[CUSTOMER
NUMBER]]," ",M_CUSTOMERS[[#This Row],[NAME]])</f>
        <v>B-1001 BART'S GYM LIMITED</v>
      </c>
      <c r="E4" s="1" t="s">
        <v>700</v>
      </c>
      <c r="F4" s="1" t="s">
        <v>1135</v>
      </c>
      <c r="H4" s="1">
        <v>48647</v>
      </c>
    </row>
    <row r="5" spans="1:10" ht="15.75" customHeight="1">
      <c r="B5" s="1" t="s">
        <v>175</v>
      </c>
      <c r="C5" s="1" t="s">
        <v>687</v>
      </c>
      <c r="D5" s="1" t="str">
        <f>CONCATENATE(M_CUSTOMERS[[#This Row],[CUSTOMER
NUMBER]]," ",M_CUSTOMERS[[#This Row],[NAME]])</f>
        <v xml:space="preserve">C-1000 COTTAGES FOR RENT </v>
      </c>
      <c r="E5" s="1" t="s">
        <v>701</v>
      </c>
      <c r="F5" s="1" t="s">
        <v>1135</v>
      </c>
      <c r="H5" s="1">
        <v>48223</v>
      </c>
    </row>
    <row r="6" spans="1:10" ht="15.75" customHeight="1">
      <c r="B6" s="1" t="s">
        <v>213</v>
      </c>
      <c r="C6" s="1" t="s">
        <v>214</v>
      </c>
      <c r="D6" s="1" t="str">
        <f>CONCATENATE(M_CUSTOMERS[[#This Row],[CUSTOMER
NUMBER]]," ",M_CUSTOMERS[[#This Row],[NAME]])</f>
        <v>E-1000 EZ Ledgers Inc.</v>
      </c>
      <c r="E6" s="1" t="s">
        <v>215</v>
      </c>
      <c r="F6" s="1" t="s">
        <v>1135</v>
      </c>
      <c r="H6" s="1">
        <v>48322</v>
      </c>
      <c r="J6" s="1"/>
    </row>
    <row r="7" spans="1:10" ht="15.75" customHeight="1">
      <c r="B7" s="1" t="s">
        <v>176</v>
      </c>
      <c r="C7" s="1" t="s">
        <v>688</v>
      </c>
      <c r="D7" s="1" t="str">
        <f>CONCATENATE(M_CUSTOMERS[[#This Row],[CUSTOMER
NUMBER]]," ",M_CUSTOMERS[[#This Row],[NAME]])</f>
        <v>H-1000 HOOD INDUSTRIES LIMITED</v>
      </c>
      <c r="E7" s="1" t="s">
        <v>702</v>
      </c>
      <c r="F7" s="1" t="s">
        <v>1135</v>
      </c>
      <c r="H7" s="1">
        <v>45674</v>
      </c>
    </row>
    <row r="8" spans="1:10" ht="15.75" customHeight="1">
      <c r="B8" s="3" t="s">
        <v>177</v>
      </c>
      <c r="C8" s="3" t="s">
        <v>689</v>
      </c>
      <c r="D8" s="3" t="str">
        <f>CONCATENATE(M_CUSTOMERS[[#This Row],[CUSTOMER
NUMBER]]," ",M_CUSTOMERS[[#This Row],[NAME]])</f>
        <v>K-1000 KEITH'S WINE BAR</v>
      </c>
      <c r="E8" s="3" t="s">
        <v>703</v>
      </c>
      <c r="F8" s="1" t="s">
        <v>1135</v>
      </c>
      <c r="H8" s="3">
        <v>45485</v>
      </c>
    </row>
    <row r="9" spans="1:10" ht="15.75" customHeight="1">
      <c r="B9" t="s">
        <v>180</v>
      </c>
      <c r="C9" s="112" t="s">
        <v>690</v>
      </c>
      <c r="D9" s="112" t="str">
        <f>CONCATENATE(M_CUSTOMERS[[#This Row],[CUSTOMER
NUMBER]]," ",M_CUSTOMERS[[#This Row],[NAME]])</f>
        <v>K-2000 KEYSTONE RESTAURANT</v>
      </c>
      <c r="E9" t="s">
        <v>704</v>
      </c>
      <c r="F9" s="1" t="s">
        <v>1135</v>
      </c>
      <c r="H9" s="1">
        <v>42797</v>
      </c>
    </row>
    <row r="10" spans="1:10" ht="15.75" customHeight="1">
      <c r="B10" s="1" t="s">
        <v>174</v>
      </c>
      <c r="C10" s="1" t="s">
        <v>691</v>
      </c>
      <c r="D10" s="1" t="str">
        <f>CONCATENATE(M_CUSTOMERS[[#This Row],[CUSTOMER
NUMBER]]," ",M_CUSTOMERS[[#This Row],[NAME]])</f>
        <v>M-1000 MICHAEL'S LANDSCAPING</v>
      </c>
      <c r="E10" s="1" t="s">
        <v>705</v>
      </c>
      <c r="F10" s="1" t="s">
        <v>1135</v>
      </c>
      <c r="H10" s="1">
        <v>43642</v>
      </c>
    </row>
    <row r="11" spans="1:10" ht="15.75" customHeight="1">
      <c r="B11" s="1" t="s">
        <v>692</v>
      </c>
      <c r="C11" s="1" t="s">
        <v>693</v>
      </c>
      <c r="D11" s="1" t="str">
        <f>CONCATENATE(M_CUSTOMERS[[#This Row],[CUSTOMER
NUMBER]]," ",M_CUSTOMERS[[#This Row],[NAME]])</f>
        <v>O-1000 OLEANNA'S LITTLE HELPER INC</v>
      </c>
      <c r="E11" s="1" t="s">
        <v>706</v>
      </c>
      <c r="F11" s="1" t="s">
        <v>1135</v>
      </c>
      <c r="H11" s="1">
        <v>42421</v>
      </c>
    </row>
    <row r="12" spans="1:10" ht="15.75" customHeight="1">
      <c r="B12" s="1" t="s">
        <v>694</v>
      </c>
      <c r="C12" s="1" t="s">
        <v>695</v>
      </c>
      <c r="D12" s="1" t="str">
        <f>CONCATENATE(M_CUSTOMERS[[#This Row],[CUSTOMER
NUMBER]]," ",M_CUSTOMERS[[#This Row],[NAME]])</f>
        <v>T-1000 TASKER'S LEADERSHIP TRAINING SERVICES</v>
      </c>
      <c r="E12" s="1" t="s">
        <v>707</v>
      </c>
      <c r="F12" s="1" t="s">
        <v>1135</v>
      </c>
      <c r="H12" s="1">
        <v>48654</v>
      </c>
    </row>
    <row r="13" spans="1:10" ht="15.75" customHeight="1">
      <c r="B13" s="1" t="s">
        <v>181</v>
      </c>
      <c r="C13" s="1" t="s">
        <v>696</v>
      </c>
      <c r="D13" s="1" t="str">
        <f>CONCATENATE(M_CUSTOMERS[[#This Row],[CUSTOMER
NUMBER]]," ",M_CUSTOMERS[[#This Row],[NAME]])</f>
        <v>N-1000 NETWORK  INC.</v>
      </c>
      <c r="E13" s="1" t="s">
        <v>708</v>
      </c>
      <c r="F13" s="1" t="s">
        <v>1135</v>
      </c>
      <c r="G13" s="1" t="s">
        <v>0</v>
      </c>
      <c r="H13" s="1">
        <v>45864</v>
      </c>
    </row>
    <row r="14" spans="1:10" ht="15.75" customHeight="1">
      <c r="B14" s="1" t="s">
        <v>182</v>
      </c>
      <c r="C14" s="1" t="s">
        <v>697</v>
      </c>
      <c r="D14" s="1" t="str">
        <f>CONCATENATE(M_CUSTOMERS[[#This Row],[CUSTOMER
NUMBER]]," ",M_CUSTOMERS[[#This Row],[NAME]])</f>
        <v>N-2000 NETWORK SERVICES  INC.</v>
      </c>
      <c r="E14" s="1" t="s">
        <v>710</v>
      </c>
      <c r="F14" s="1" t="s">
        <v>1135</v>
      </c>
      <c r="G14" s="1" t="s">
        <v>0</v>
      </c>
      <c r="H14" s="1">
        <v>48343</v>
      </c>
    </row>
    <row r="15" spans="1:10" ht="15.75" customHeight="1">
      <c r="B15" s="1" t="s">
        <v>178</v>
      </c>
      <c r="C15" s="1" t="s">
        <v>698</v>
      </c>
      <c r="D15" s="1" t="str">
        <f>CONCATENATE(M_CUSTOMERS[[#This Row],[CUSTOMER
NUMBER]]," ",M_CUSTOMERS[[#This Row],[NAME]])</f>
        <v>S-1000 SMAILL HARBOUR ADMIN SEVICES INC</v>
      </c>
      <c r="E15" s="1" t="s">
        <v>709</v>
      </c>
      <c r="F15" s="1" t="s">
        <v>1135</v>
      </c>
      <c r="H15" s="1">
        <v>48012</v>
      </c>
      <c r="J15" s="3"/>
    </row>
    <row r="16" spans="1:10" ht="15.75" customHeight="1">
      <c r="D16" t="str">
        <f>CONCATENATE(M_CUSTOMERS[[#This Row],[CUSTOMER
NUMBER]]," ",M_CUSTOMERS[[#This Row],[NAME]])</f>
        <v xml:space="preserve"> </v>
      </c>
    </row>
  </sheetData>
  <hyperlinks>
    <hyperlink ref="A1" location="'TABLE OF CONTENTS'!A1" display="INDEX" xr:uid="{36BA5F23-F043-4D63-AC56-86983DAED3F4}"/>
  </hyperlinks>
  <pageMargins left="0.7" right="0.7" top="0.75" bottom="0.75" header="0.3" footer="0.3"/>
  <pageSetup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C18F4C7-D447-40F0-8638-1001D472306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45</vt:i4>
      </vt:variant>
      <vt:variant>
        <vt:lpstr>Named Ranges</vt:lpstr>
      </vt:variant>
      <vt:variant>
        <vt:i4>4</vt:i4>
      </vt:variant>
    </vt:vector>
  </HeadingPairs>
  <TitlesOfParts>
    <vt:vector size="49" baseType="lpstr">
      <vt:lpstr>SPLASH</vt:lpstr>
      <vt:lpstr>STATISTICS</vt:lpstr>
      <vt:lpstr>REGISTRATION</vt:lpstr>
      <vt:lpstr>TABLE OF CONTENTS</vt:lpstr>
      <vt:lpstr>FS_2YRS</vt:lpstr>
      <vt:lpstr>FS_5YRS</vt:lpstr>
      <vt:lpstr>Ai PROMPT AND RESPONSE</vt:lpstr>
      <vt:lpstr>TB_FS</vt:lpstr>
      <vt:lpstr>PT_TB</vt:lpstr>
      <vt:lpstr>PT_GL</vt:lpstr>
      <vt:lpstr>A</vt:lpstr>
      <vt:lpstr>A1</vt:lpstr>
      <vt:lpstr>B</vt:lpstr>
      <vt:lpstr>B.1</vt:lpstr>
      <vt:lpstr>C</vt:lpstr>
      <vt:lpstr>C.1</vt:lpstr>
      <vt:lpstr>U</vt:lpstr>
      <vt:lpstr>U1</vt:lpstr>
      <vt:lpstr>BB</vt:lpstr>
      <vt:lpstr>BB1</vt:lpstr>
      <vt:lpstr>DD</vt:lpstr>
      <vt:lpstr>FF</vt:lpstr>
      <vt:lpstr>GG</vt:lpstr>
      <vt:lpstr>KK</vt:lpstr>
      <vt:lpstr>UU</vt:lpstr>
      <vt:lpstr>T_Wksheet</vt:lpstr>
      <vt:lpstr>RPT_CHEQUE</vt:lpstr>
      <vt:lpstr>RPT INVOICE</vt:lpstr>
      <vt:lpstr>CR</vt:lpstr>
      <vt:lpstr>PJ</vt:lpstr>
      <vt:lpstr>CCJ</vt:lpstr>
      <vt:lpstr>WJ</vt:lpstr>
      <vt:lpstr>WJ_SUM</vt:lpstr>
      <vt:lpstr>CD</vt:lpstr>
      <vt:lpstr>SJ</vt:lpstr>
      <vt:lpstr>GJ</vt:lpstr>
      <vt:lpstr>BK_CDN</vt:lpstr>
      <vt:lpstr>BK_US</vt:lpstr>
      <vt:lpstr>BALFWD</vt:lpstr>
      <vt:lpstr>COA</vt:lpstr>
      <vt:lpstr>VENDORS</vt:lpstr>
      <vt:lpstr>SYMBOLS</vt:lpstr>
      <vt:lpstr>Broker_mapping</vt:lpstr>
      <vt:lpstr>STAFF</vt:lpstr>
      <vt:lpstr>CUSTOMERS</vt:lpstr>
      <vt:lpstr>'Ai PROMPT AND RESPONSE'!Print_Area</vt:lpstr>
      <vt:lpstr>FS_2YRS!Print_Area</vt:lpstr>
      <vt:lpstr>FS_5YRS!Print_Area</vt:lpstr>
      <vt:lpstr>RPT_CHEQUE!Print_Area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2023-12-30T19:11:55Z</dcterms:created>
  <dcterms:modified xsi:type="dcterms:W3CDTF">2025-10-30T17:11:29Z</dcterms:modified>
  <cp:category/>
  <cp:contentStatus/>
</cp:coreProperties>
</file>